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kielcepolonezplus.sharepoint.com/sites/dzial-pi/Shared Documents/"/>
    </mc:Choice>
  </mc:AlternateContent>
  <xr:revisionPtr revIDLastSave="335" documentId="8_{C8D305E2-D876-4282-8A21-6100DBA7063E}" xr6:coauthVersionLast="47" xr6:coauthVersionMax="47" xr10:uidLastSave="{DADD7918-75EC-48A1-922F-B883B4B5CA74}"/>
  <bookViews>
    <workbookView xWindow="-108" yWindow="-108" windowWidth="23256" windowHeight="12456" tabRatio="897" activeTab="1" xr2:uid="{00000000-000D-0000-FFFF-FFFF00000000}"/>
  </bookViews>
  <sheets>
    <sheet name="Cennik" sheetId="1" r:id="rId1"/>
    <sheet name="r.pex" sheetId="2" r:id="rId2"/>
    <sheet name="rura PVC, PP-HT" sheetId="3" r:id="rId3"/>
    <sheet name="izolacja wod-kan" sheetId="4" r:id="rId4"/>
    <sheet name="izolacja wl, ct" sheetId="5" r:id="rId5"/>
    <sheet name="r.nierdz zacisk" sheetId="6" r:id="rId6"/>
    <sheet name="r.PP" sheetId="7" r:id="rId7"/>
    <sheet name="r.ocynk gwint" sheetId="8" r:id="rId8"/>
    <sheet name="armatura" sheetId="9" r:id="rId9"/>
    <sheet name="r.czarna" sheetId="10" r:id="rId10"/>
    <sheet name="robocizna WDK" sheetId="11" r:id="rId11"/>
    <sheet name="robocizna GCH" sheetId="12" r:id="rId12"/>
    <sheet name="r. HDPE" sheetId="13" r:id="rId13"/>
    <sheet name="r.czarna rowk" sheetId="14" r:id="rId14"/>
    <sheet name="r. nierdz spawana" sheetId="15" r:id="rId15"/>
    <sheet name="r. ocynk gwint" sheetId="16" r:id="rId16"/>
    <sheet name="r.ocynk zacisk" sheetId="17" r:id="rId17"/>
  </sheets>
  <definedNames>
    <definedName name="_xlnm._FilterDatabase" localSheetId="8" hidden="1">armatura!$A$1:$N$380</definedName>
    <definedName name="_xlnm._FilterDatabase" localSheetId="0" hidden="1">Cennik!$A$1:$L$1540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6" i="1" l="1"/>
  <c r="G667" i="1"/>
  <c r="G668" i="1"/>
  <c r="G669" i="1"/>
  <c r="G670" i="1"/>
  <c r="G671" i="1"/>
  <c r="G665" i="1"/>
  <c r="G275" i="1"/>
  <c r="G276" i="1"/>
  <c r="G277" i="1"/>
  <c r="G278" i="1"/>
  <c r="G279" i="1"/>
  <c r="G274" i="1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76" i="5"/>
  <c r="J428" i="1"/>
  <c r="J427" i="1"/>
  <c r="L38" i="6"/>
  <c r="L39" i="6"/>
  <c r="L40" i="6"/>
  <c r="L41" i="6"/>
  <c r="L42" i="6"/>
  <c r="L43" i="6"/>
  <c r="L37" i="6"/>
  <c r="L21" i="6"/>
  <c r="L22" i="6"/>
  <c r="L23" i="6"/>
  <c r="L24" i="6"/>
  <c r="L25" i="6"/>
  <c r="L26" i="6"/>
  <c r="L27" i="6"/>
  <c r="L28" i="6"/>
  <c r="L29" i="6"/>
  <c r="L30" i="6"/>
  <c r="L20" i="6"/>
  <c r="L6" i="6"/>
  <c r="L7" i="6"/>
  <c r="L8" i="6"/>
  <c r="L9" i="6"/>
  <c r="L10" i="6"/>
  <c r="L11" i="6"/>
  <c r="L12" i="6"/>
  <c r="L13" i="6"/>
  <c r="L14" i="6"/>
  <c r="L15" i="6"/>
  <c r="L5" i="6"/>
  <c r="E64" i="5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31" i="5"/>
  <c r="E33" i="5"/>
  <c r="E35" i="5"/>
  <c r="E37" i="5"/>
  <c r="E39" i="5"/>
  <c r="E41" i="5"/>
  <c r="E43" i="5"/>
  <c r="E45" i="5"/>
  <c r="E47" i="5"/>
  <c r="E49" i="5"/>
  <c r="E51" i="5"/>
  <c r="E53" i="5"/>
  <c r="E55" i="5"/>
  <c r="E57" i="5"/>
  <c r="E32" i="5"/>
  <c r="E34" i="5" s="1"/>
  <c r="E36" i="5" s="1"/>
  <c r="E38" i="5" s="1"/>
  <c r="E40" i="5" s="1"/>
  <c r="E42" i="5" s="1"/>
  <c r="E44" i="5" s="1"/>
  <c r="E46" i="5" s="1"/>
  <c r="E48" i="5" s="1"/>
  <c r="E50" i="5" s="1"/>
  <c r="E52" i="5" s="1"/>
  <c r="E54" i="5" s="1"/>
  <c r="E56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G1507" i="1"/>
  <c r="G1508" i="1"/>
  <c r="G1509" i="1"/>
  <c r="G1506" i="1"/>
  <c r="G1415" i="1"/>
  <c r="G1416" i="1"/>
  <c r="G1417" i="1"/>
  <c r="G1418" i="1"/>
  <c r="G1419" i="1"/>
  <c r="G1414" i="1"/>
  <c r="G1309" i="1"/>
  <c r="G1231" i="1" s="1"/>
  <c r="G1310" i="1"/>
  <c r="G1232" i="1" s="1"/>
  <c r="G1311" i="1"/>
  <c r="G1233" i="1" s="1"/>
  <c r="G1312" i="1"/>
  <c r="G1234" i="1" s="1"/>
  <c r="G1313" i="1"/>
  <c r="G1235" i="1" s="1"/>
  <c r="G1314" i="1"/>
  <c r="G1236" i="1" s="1"/>
  <c r="G1315" i="1"/>
  <c r="G1237" i="1" s="1"/>
  <c r="G1316" i="1"/>
  <c r="G1238" i="1" s="1"/>
  <c r="G1317" i="1"/>
  <c r="G1239" i="1" s="1"/>
  <c r="G1308" i="1"/>
  <c r="G1298" i="1"/>
  <c r="G1299" i="1"/>
  <c r="G1300" i="1"/>
  <c r="G1297" i="1"/>
  <c r="G1287" i="1"/>
  <c r="G1288" i="1"/>
  <c r="G1289" i="1"/>
  <c r="G1290" i="1"/>
  <c r="G1291" i="1"/>
  <c r="G1292" i="1"/>
  <c r="G1293" i="1"/>
  <c r="G1294" i="1"/>
  <c r="G1295" i="1"/>
  <c r="G1286" i="1"/>
  <c r="G1276" i="1"/>
  <c r="G1277" i="1"/>
  <c r="G1278" i="1"/>
  <c r="G1279" i="1"/>
  <c r="G1280" i="1"/>
  <c r="G1281" i="1"/>
  <c r="G1282" i="1"/>
  <c r="G1283" i="1"/>
  <c r="G1284" i="1"/>
  <c r="G1275" i="1"/>
  <c r="G1265" i="1"/>
  <c r="G1266" i="1"/>
  <c r="G1267" i="1"/>
  <c r="G1268" i="1"/>
  <c r="G1269" i="1"/>
  <c r="G1270" i="1"/>
  <c r="G1271" i="1"/>
  <c r="G1272" i="1"/>
  <c r="G1273" i="1"/>
  <c r="G1264" i="1"/>
  <c r="G1256" i="1"/>
  <c r="G1257" i="1"/>
  <c r="G1258" i="1"/>
  <c r="G1259" i="1"/>
  <c r="G1260" i="1"/>
  <c r="G1261" i="1"/>
  <c r="G1262" i="1"/>
  <c r="G1255" i="1"/>
  <c r="G1219" i="1"/>
  <c r="G1220" i="1"/>
  <c r="G1221" i="1"/>
  <c r="G1222" i="1"/>
  <c r="G1218" i="1"/>
  <c r="G1211" i="1"/>
  <c r="G1212" i="1"/>
  <c r="G1213" i="1"/>
  <c r="G1214" i="1"/>
  <c r="G1215" i="1"/>
  <c r="G1216" i="1"/>
  <c r="G1210" i="1"/>
  <c r="G1205" i="1"/>
  <c r="G1206" i="1"/>
  <c r="G1207" i="1"/>
  <c r="G1208" i="1"/>
  <c r="G1204" i="1"/>
  <c r="G1197" i="1"/>
  <c r="G1198" i="1"/>
  <c r="G1199" i="1"/>
  <c r="G1200" i="1"/>
  <c r="G1201" i="1"/>
  <c r="G1202" i="1"/>
  <c r="G1196" i="1"/>
  <c r="G1190" i="1"/>
  <c r="G1191" i="1"/>
  <c r="G1192" i="1"/>
  <c r="G1193" i="1"/>
  <c r="G1194" i="1"/>
  <c r="G1189" i="1"/>
  <c r="G1183" i="1"/>
  <c r="G1184" i="1"/>
  <c r="G1185" i="1"/>
  <c r="G1186" i="1"/>
  <c r="G1187" i="1"/>
  <c r="G1182" i="1"/>
  <c r="G1176" i="1"/>
  <c r="G1177" i="1"/>
  <c r="G1178" i="1"/>
  <c r="G1179" i="1"/>
  <c r="G1180" i="1"/>
  <c r="G1175" i="1"/>
  <c r="G1170" i="1"/>
  <c r="G1171" i="1"/>
  <c r="G1172" i="1"/>
  <c r="G1173" i="1"/>
  <c r="G1169" i="1"/>
  <c r="G1161" i="1"/>
  <c r="G1162" i="1"/>
  <c r="G1163" i="1"/>
  <c r="G1164" i="1"/>
  <c r="G1165" i="1"/>
  <c r="G1160" i="1"/>
  <c r="G1153" i="1"/>
  <c r="G1154" i="1"/>
  <c r="G1155" i="1"/>
  <c r="G1156" i="1"/>
  <c r="G1157" i="1"/>
  <c r="G1158" i="1"/>
  <c r="G1152" i="1"/>
  <c r="G1148" i="1"/>
  <c r="G1149" i="1"/>
  <c r="G1150" i="1"/>
  <c r="G1147" i="1"/>
  <c r="G1095" i="1"/>
  <c r="G1096" i="1"/>
  <c r="G1097" i="1"/>
  <c r="G1094" i="1"/>
  <c r="G1084" i="1"/>
  <c r="G1085" i="1"/>
  <c r="G1086" i="1"/>
  <c r="G1087" i="1"/>
  <c r="G1088" i="1"/>
  <c r="G1089" i="1"/>
  <c r="G1090" i="1"/>
  <c r="G1091" i="1"/>
  <c r="G1083" i="1"/>
  <c r="G1074" i="1"/>
  <c r="G1075" i="1"/>
  <c r="G1076" i="1"/>
  <c r="G1077" i="1"/>
  <c r="G1078" i="1"/>
  <c r="G1079" i="1"/>
  <c r="G1080" i="1"/>
  <c r="G1081" i="1"/>
  <c r="G1073" i="1"/>
  <c r="G1064" i="1"/>
  <c r="G1065" i="1"/>
  <c r="G1066" i="1"/>
  <c r="G1067" i="1"/>
  <c r="G1068" i="1"/>
  <c r="G1069" i="1"/>
  <c r="G1070" i="1"/>
  <c r="G1071" i="1"/>
  <c r="G1063" i="1"/>
  <c r="G1056" i="1"/>
  <c r="G1057" i="1"/>
  <c r="G1058" i="1"/>
  <c r="G1059" i="1"/>
  <c r="G1060" i="1"/>
  <c r="G1061" i="1"/>
  <c r="G1055" i="1"/>
  <c r="G1046" i="1"/>
  <c r="G1047" i="1"/>
  <c r="G1048" i="1"/>
  <c r="G1049" i="1"/>
  <c r="G1050" i="1"/>
  <c r="G1051" i="1"/>
  <c r="G1052" i="1"/>
  <c r="G1053" i="1"/>
  <c r="G1045" i="1"/>
  <c r="G1036" i="1"/>
  <c r="G1037" i="1"/>
  <c r="G1038" i="1"/>
  <c r="G1039" i="1"/>
  <c r="G1040" i="1"/>
  <c r="G1041" i="1"/>
  <c r="G1042" i="1"/>
  <c r="G1043" i="1"/>
  <c r="G1035" i="1"/>
  <c r="G1026" i="1"/>
  <c r="G1027" i="1"/>
  <c r="G1028" i="1"/>
  <c r="G1029" i="1"/>
  <c r="G1030" i="1"/>
  <c r="G1031" i="1"/>
  <c r="G1032" i="1"/>
  <c r="G1033" i="1"/>
  <c r="G1025" i="1"/>
  <c r="G1016" i="1"/>
  <c r="G1017" i="1"/>
  <c r="G1018" i="1"/>
  <c r="G1019" i="1"/>
  <c r="G1020" i="1"/>
  <c r="G1021" i="1"/>
  <c r="G1022" i="1"/>
  <c r="G1023" i="1"/>
  <c r="G1015" i="1"/>
  <c r="G1006" i="1"/>
  <c r="G1007" i="1"/>
  <c r="G1008" i="1"/>
  <c r="G1009" i="1"/>
  <c r="G1010" i="1"/>
  <c r="G1011" i="1"/>
  <c r="G1012" i="1"/>
  <c r="G1005" i="1"/>
  <c r="G996" i="1"/>
  <c r="G997" i="1"/>
  <c r="G998" i="1"/>
  <c r="G999" i="1"/>
  <c r="G1000" i="1"/>
  <c r="G1001" i="1"/>
  <c r="G1002" i="1"/>
  <c r="G1003" i="1"/>
  <c r="G995" i="1"/>
  <c r="G986" i="1"/>
  <c r="G987" i="1"/>
  <c r="G988" i="1"/>
  <c r="G989" i="1"/>
  <c r="G990" i="1"/>
  <c r="G991" i="1"/>
  <c r="G992" i="1"/>
  <c r="G993" i="1"/>
  <c r="G985" i="1"/>
  <c r="G976" i="1"/>
  <c r="G977" i="1"/>
  <c r="G978" i="1"/>
  <c r="G979" i="1"/>
  <c r="G980" i="1"/>
  <c r="G981" i="1"/>
  <c r="G982" i="1"/>
  <c r="G983" i="1"/>
  <c r="G975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61" i="1"/>
  <c r="G946" i="1"/>
  <c r="G947" i="1"/>
  <c r="G948" i="1"/>
  <c r="G949" i="1"/>
  <c r="G950" i="1"/>
  <c r="G951" i="1"/>
  <c r="G952" i="1"/>
  <c r="G953" i="1"/>
  <c r="G954" i="1"/>
  <c r="G955" i="1"/>
  <c r="G945" i="1"/>
  <c r="G934" i="1"/>
  <c r="G935" i="1"/>
  <c r="G936" i="1"/>
  <c r="G937" i="1"/>
  <c r="G938" i="1"/>
  <c r="G939" i="1"/>
  <c r="G940" i="1"/>
  <c r="G941" i="1"/>
  <c r="G942" i="1"/>
  <c r="G943" i="1"/>
  <c r="G933" i="1"/>
  <c r="G922" i="1"/>
  <c r="G923" i="1"/>
  <c r="G924" i="1"/>
  <c r="G925" i="1"/>
  <c r="G926" i="1"/>
  <c r="G927" i="1"/>
  <c r="G928" i="1"/>
  <c r="G929" i="1"/>
  <c r="G930" i="1"/>
  <c r="G931" i="1"/>
  <c r="G921" i="1"/>
  <c r="G910" i="1"/>
  <c r="G911" i="1"/>
  <c r="G912" i="1"/>
  <c r="G913" i="1"/>
  <c r="G914" i="1"/>
  <c r="G915" i="1"/>
  <c r="G916" i="1"/>
  <c r="G917" i="1"/>
  <c r="G918" i="1"/>
  <c r="G919" i="1"/>
  <c r="G909" i="1"/>
  <c r="I206" i="5"/>
  <c r="K56" i="5"/>
  <c r="D56" i="5"/>
  <c r="I56" i="5" s="1"/>
  <c r="K54" i="5"/>
  <c r="D54" i="5"/>
  <c r="I54" i="5" s="1"/>
  <c r="K53" i="5"/>
  <c r="D53" i="5"/>
  <c r="I53" i="5" s="1"/>
  <c r="L52" i="5"/>
  <c r="D51" i="5"/>
  <c r="I51" i="5" s="1"/>
  <c r="L51" i="5" s="1"/>
  <c r="K50" i="5"/>
  <c r="D50" i="5"/>
  <c r="I50" i="5" s="1"/>
  <c r="L49" i="5"/>
  <c r="D48" i="5"/>
  <c r="I48" i="5" s="1"/>
  <c r="L48" i="5" s="1"/>
  <c r="L47" i="5"/>
  <c r="D46" i="5"/>
  <c r="I46" i="5" s="1"/>
  <c r="L46" i="5" s="1"/>
  <c r="L45" i="5"/>
  <c r="I44" i="5"/>
  <c r="L44" i="5" s="1"/>
  <c r="L43" i="5"/>
  <c r="I42" i="5"/>
  <c r="L42" i="5" s="1"/>
  <c r="L41" i="5"/>
  <c r="L40" i="5"/>
  <c r="I39" i="5"/>
  <c r="L39" i="5" s="1"/>
  <c r="L38" i="5"/>
  <c r="I37" i="5"/>
  <c r="L37" i="5" s="1"/>
  <c r="L36" i="5"/>
  <c r="I35" i="5"/>
  <c r="L35" i="5" s="1"/>
  <c r="L34" i="5"/>
  <c r="I33" i="5"/>
  <c r="L33" i="5" s="1"/>
  <c r="L32" i="5"/>
  <c r="I63" i="5"/>
  <c r="G842" i="1" s="1"/>
  <c r="I64" i="5"/>
  <c r="G843" i="1" s="1"/>
  <c r="I65" i="5"/>
  <c r="G844" i="1" s="1"/>
  <c r="I66" i="5"/>
  <c r="G845" i="1" s="1"/>
  <c r="I67" i="5"/>
  <c r="G846" i="1" s="1"/>
  <c r="G798" i="1"/>
  <c r="G799" i="1"/>
  <c r="G800" i="1"/>
  <c r="G801" i="1"/>
  <c r="G803" i="1"/>
  <c r="G804" i="1"/>
  <c r="G805" i="1"/>
  <c r="G797" i="1"/>
  <c r="G789" i="1"/>
  <c r="G790" i="1"/>
  <c r="G791" i="1"/>
  <c r="G792" i="1"/>
  <c r="G793" i="1"/>
  <c r="G794" i="1"/>
  <c r="G795" i="1"/>
  <c r="G788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74" i="1"/>
  <c r="G767" i="1"/>
  <c r="G768" i="1"/>
  <c r="G769" i="1"/>
  <c r="G770" i="1"/>
  <c r="G771" i="1"/>
  <c r="G772" i="1"/>
  <c r="G766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47" i="1"/>
  <c r="I789" i="1"/>
  <c r="I790" i="1" s="1"/>
  <c r="I791" i="1" s="1"/>
  <c r="I792" i="1" s="1"/>
  <c r="I793" i="1" s="1"/>
  <c r="I794" i="1" s="1"/>
  <c r="I795" i="1" s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31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1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692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73" i="1"/>
  <c r="G655" i="1"/>
  <c r="G656" i="1"/>
  <c r="G657" i="1"/>
  <c r="G658" i="1"/>
  <c r="G659" i="1"/>
  <c r="G660" i="1"/>
  <c r="G661" i="1"/>
  <c r="G662" i="1"/>
  <c r="G663" i="1"/>
  <c r="G664" i="1"/>
  <c r="G654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35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16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597" i="1"/>
  <c r="G470" i="1"/>
  <c r="G443" i="1"/>
  <c r="G449" i="1"/>
  <c r="G451" i="1"/>
  <c r="G390" i="1"/>
  <c r="G391" i="1"/>
  <c r="G392" i="1"/>
  <c r="G393" i="1"/>
  <c r="G360" i="1"/>
  <c r="G366" i="1"/>
  <c r="G346" i="1"/>
  <c r="G343" i="1"/>
  <c r="G310" i="1"/>
  <c r="G301" i="1"/>
  <c r="G302" i="1"/>
  <c r="G303" i="1"/>
  <c r="G304" i="1"/>
  <c r="G305" i="1"/>
  <c r="G306" i="1"/>
  <c r="G300" i="1"/>
  <c r="G296" i="1"/>
  <c r="G297" i="1"/>
  <c r="G298" i="1"/>
  <c r="G295" i="1"/>
  <c r="G270" i="1"/>
  <c r="G202" i="1"/>
  <c r="G203" i="1"/>
  <c r="G204" i="1"/>
  <c r="G205" i="1"/>
  <c r="G206" i="1"/>
  <c r="G207" i="1"/>
  <c r="G208" i="1"/>
  <c r="G209" i="1"/>
  <c r="G210" i="1"/>
  <c r="G211" i="1"/>
  <c r="G201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65" i="1"/>
  <c r="G166" i="1"/>
  <c r="G167" i="1"/>
  <c r="G168" i="1"/>
  <c r="G169" i="1"/>
  <c r="G170" i="1"/>
  <c r="G171" i="1"/>
  <c r="G172" i="1"/>
  <c r="G173" i="1"/>
  <c r="G174" i="1"/>
  <c r="G175" i="1"/>
  <c r="G164" i="1"/>
  <c r="G154" i="1"/>
  <c r="G155" i="1"/>
  <c r="G156" i="1"/>
  <c r="G157" i="1"/>
  <c r="G158" i="1"/>
  <c r="G159" i="1"/>
  <c r="G160" i="1"/>
  <c r="G161" i="1"/>
  <c r="G162" i="1"/>
  <c r="G153" i="1"/>
  <c r="G144" i="1"/>
  <c r="G131" i="1"/>
  <c r="G118" i="1"/>
  <c r="G107" i="1"/>
  <c r="G108" i="1"/>
  <c r="G109" i="1"/>
  <c r="G110" i="1"/>
  <c r="G111" i="1"/>
  <c r="G112" i="1"/>
  <c r="G113" i="1"/>
  <c r="G114" i="1"/>
  <c r="G115" i="1"/>
  <c r="G116" i="1"/>
  <c r="G106" i="1"/>
  <c r="G94" i="1"/>
  <c r="G95" i="1"/>
  <c r="G96" i="1"/>
  <c r="G97" i="1"/>
  <c r="G98" i="1"/>
  <c r="G99" i="1"/>
  <c r="G100" i="1"/>
  <c r="G101" i="1"/>
  <c r="G102" i="1"/>
  <c r="G103" i="1"/>
  <c r="G104" i="1"/>
  <c r="G93" i="1"/>
  <c r="G82" i="1"/>
  <c r="G83" i="1"/>
  <c r="G84" i="1"/>
  <c r="G85" i="1"/>
  <c r="G86" i="1"/>
  <c r="G87" i="1"/>
  <c r="G88" i="1"/>
  <c r="G89" i="1"/>
  <c r="G90" i="1"/>
  <c r="G91" i="1"/>
  <c r="G81" i="1"/>
  <c r="G72" i="1"/>
  <c r="G73" i="1"/>
  <c r="G74" i="1"/>
  <c r="G75" i="1"/>
  <c r="G76" i="1"/>
  <c r="G77" i="1"/>
  <c r="G78" i="1"/>
  <c r="G79" i="1"/>
  <c r="G71" i="1"/>
  <c r="G70" i="1"/>
  <c r="G69" i="1"/>
  <c r="G59" i="1"/>
  <c r="G60" i="1"/>
  <c r="G61" i="1"/>
  <c r="G62" i="1"/>
  <c r="G63" i="1"/>
  <c r="G64" i="1"/>
  <c r="G65" i="1"/>
  <c r="G66" i="1"/>
  <c r="G67" i="1"/>
  <c r="G58" i="1"/>
  <c r="G48" i="1"/>
  <c r="G49" i="1"/>
  <c r="G50" i="1"/>
  <c r="G51" i="1"/>
  <c r="G52" i="1"/>
  <c r="G53" i="1"/>
  <c r="G54" i="1"/>
  <c r="G55" i="1"/>
  <c r="G56" i="1"/>
  <c r="G47" i="1"/>
  <c r="G37" i="1"/>
  <c r="G38" i="1"/>
  <c r="G39" i="1"/>
  <c r="G40" i="1"/>
  <c r="G41" i="1"/>
  <c r="G42" i="1"/>
  <c r="G43" i="1"/>
  <c r="G44" i="1"/>
  <c r="G45" i="1"/>
  <c r="G36" i="1"/>
  <c r="G27" i="1"/>
  <c r="G28" i="1"/>
  <c r="G29" i="1"/>
  <c r="G30" i="1"/>
  <c r="G31" i="1"/>
  <c r="G32" i="1"/>
  <c r="G33" i="1"/>
  <c r="G34" i="1"/>
  <c r="G26" i="1"/>
  <c r="G15" i="1"/>
  <c r="G16" i="1"/>
  <c r="G17" i="1"/>
  <c r="G18" i="1"/>
  <c r="G19" i="1"/>
  <c r="G20" i="1"/>
  <c r="G21" i="1"/>
  <c r="G22" i="1"/>
  <c r="G23" i="1"/>
  <c r="G14" i="1"/>
  <c r="G4" i="1"/>
  <c r="G5" i="1"/>
  <c r="G6" i="1"/>
  <c r="G7" i="1"/>
  <c r="G8" i="1"/>
  <c r="G9" i="1"/>
  <c r="G10" i="1"/>
  <c r="G11" i="1"/>
  <c r="G12" i="1"/>
  <c r="J69" i="2"/>
  <c r="F69" i="2"/>
  <c r="M68" i="2"/>
  <c r="G1302" i="1" s="1"/>
  <c r="J423" i="1"/>
  <c r="J424" i="1"/>
  <c r="J425" i="1"/>
  <c r="J426" i="1"/>
  <c r="J422" i="1"/>
  <c r="J166" i="9"/>
  <c r="J167" i="9"/>
  <c r="J168" i="9"/>
  <c r="J169" i="9"/>
  <c r="J165" i="9"/>
  <c r="G166" i="9"/>
  <c r="G423" i="1" s="1"/>
  <c r="G167" i="9"/>
  <c r="G424" i="1" s="1"/>
  <c r="G168" i="9"/>
  <c r="G425" i="1" s="1"/>
  <c r="G169" i="9"/>
  <c r="G426" i="1" s="1"/>
  <c r="F169" i="9"/>
  <c r="F168" i="9"/>
  <c r="F167" i="9"/>
  <c r="F166" i="9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19" i="1"/>
  <c r="G1139" i="1"/>
  <c r="G1137" i="1"/>
  <c r="G1138" i="1"/>
  <c r="G1136" i="1"/>
  <c r="G1142" i="1"/>
  <c r="G1143" i="1"/>
  <c r="G1144" i="1"/>
  <c r="G1145" i="1"/>
  <c r="G1141" i="1"/>
  <c r="G1134" i="1"/>
  <c r="G1135" i="1"/>
  <c r="G1133" i="1"/>
  <c r="J1249" i="1"/>
  <c r="J1250" i="1"/>
  <c r="J1251" i="1"/>
  <c r="J1252" i="1"/>
  <c r="J1253" i="1"/>
  <c r="J1248" i="1"/>
  <c r="K670" i="5"/>
  <c r="D670" i="5"/>
  <c r="I670" i="5" s="1"/>
  <c r="K669" i="5"/>
  <c r="D669" i="5"/>
  <c r="I669" i="5" s="1"/>
  <c r="K668" i="5"/>
  <c r="D668" i="5"/>
  <c r="I668" i="5" s="1"/>
  <c r="K665" i="5"/>
  <c r="D665" i="5"/>
  <c r="I665" i="5" s="1"/>
  <c r="K664" i="5"/>
  <c r="D664" i="5"/>
  <c r="I664" i="5" s="1"/>
  <c r="K663" i="5"/>
  <c r="D663" i="5"/>
  <c r="I663" i="5" s="1"/>
  <c r="I660" i="5"/>
  <c r="I659" i="5"/>
  <c r="I658" i="5"/>
  <c r="K657" i="5"/>
  <c r="D657" i="5"/>
  <c r="I657" i="5" s="1"/>
  <c r="K656" i="5"/>
  <c r="D656" i="5"/>
  <c r="I656" i="5" s="1"/>
  <c r="K655" i="5"/>
  <c r="D655" i="5"/>
  <c r="I655" i="5" s="1"/>
  <c r="K654" i="5"/>
  <c r="D654" i="5"/>
  <c r="I654" i="5" s="1"/>
  <c r="K653" i="5"/>
  <c r="D653" i="5"/>
  <c r="I653" i="5" s="1"/>
  <c r="K652" i="5"/>
  <c r="D652" i="5"/>
  <c r="I652" i="5" s="1"/>
  <c r="K651" i="5"/>
  <c r="D651" i="5"/>
  <c r="I651" i="5" s="1"/>
  <c r="K650" i="5"/>
  <c r="D650" i="5"/>
  <c r="I650" i="5" s="1"/>
  <c r="I649" i="5"/>
  <c r="I648" i="5"/>
  <c r="I647" i="5"/>
  <c r="I642" i="5"/>
  <c r="I641" i="5"/>
  <c r="I640" i="5"/>
  <c r="I639" i="5"/>
  <c r="I638" i="5"/>
  <c r="K637" i="5"/>
  <c r="D637" i="5"/>
  <c r="I637" i="5" s="1"/>
  <c r="K636" i="5"/>
  <c r="D636" i="5"/>
  <c r="I636" i="5" s="1"/>
  <c r="K635" i="5"/>
  <c r="D635" i="5"/>
  <c r="I635" i="5" s="1"/>
  <c r="K634" i="5"/>
  <c r="D634" i="5"/>
  <c r="I634" i="5" s="1"/>
  <c r="D633" i="5"/>
  <c r="I633" i="5" s="1"/>
  <c r="D632" i="5"/>
  <c r="I632" i="5" s="1"/>
  <c r="D631" i="5"/>
  <c r="I631" i="5" s="1"/>
  <c r="D630" i="5"/>
  <c r="I630" i="5" s="1"/>
  <c r="D629" i="5"/>
  <c r="I629" i="5" s="1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K599" i="5"/>
  <c r="D599" i="5"/>
  <c r="I599" i="5" s="1"/>
  <c r="K598" i="5"/>
  <c r="D598" i="5"/>
  <c r="I598" i="5" s="1"/>
  <c r="K597" i="5"/>
  <c r="D597" i="5"/>
  <c r="I597" i="5" s="1"/>
  <c r="K596" i="5"/>
  <c r="D596" i="5"/>
  <c r="I596" i="5" s="1"/>
  <c r="K595" i="5"/>
  <c r="D595" i="5"/>
  <c r="I595" i="5" s="1"/>
  <c r="K594" i="5"/>
  <c r="D594" i="5"/>
  <c r="I594" i="5" s="1"/>
  <c r="K593" i="5"/>
  <c r="D593" i="5"/>
  <c r="I593" i="5" s="1"/>
  <c r="K592" i="5"/>
  <c r="D592" i="5"/>
  <c r="I592" i="5" s="1"/>
  <c r="K591" i="5"/>
  <c r="D591" i="5"/>
  <c r="I591" i="5" s="1"/>
  <c r="K590" i="5"/>
  <c r="D590" i="5"/>
  <c r="I590" i="5" s="1"/>
  <c r="K589" i="5"/>
  <c r="D589" i="5"/>
  <c r="I589" i="5" s="1"/>
  <c r="I588" i="5"/>
  <c r="I587" i="5"/>
  <c r="I586" i="5"/>
  <c r="I585" i="5"/>
  <c r="K578" i="5"/>
  <c r="D578" i="5"/>
  <c r="I578" i="5" s="1"/>
  <c r="N578" i="5" s="1"/>
  <c r="K577" i="5"/>
  <c r="D577" i="5"/>
  <c r="I577" i="5" s="1"/>
  <c r="N577" i="5" s="1"/>
  <c r="K576" i="5"/>
  <c r="D576" i="5"/>
  <c r="I576" i="5" s="1"/>
  <c r="N576" i="5" s="1"/>
  <c r="K575" i="5"/>
  <c r="D575" i="5"/>
  <c r="I575" i="5" s="1"/>
  <c r="N575" i="5" s="1"/>
  <c r="K574" i="5"/>
  <c r="D574" i="5"/>
  <c r="I574" i="5" s="1"/>
  <c r="N574" i="5" s="1"/>
  <c r="K573" i="5"/>
  <c r="D573" i="5"/>
  <c r="I573" i="5" s="1"/>
  <c r="N573" i="5" s="1"/>
  <c r="K572" i="5"/>
  <c r="D572" i="5"/>
  <c r="I572" i="5" s="1"/>
  <c r="N572" i="5" s="1"/>
  <c r="K571" i="5"/>
  <c r="D571" i="5"/>
  <c r="I571" i="5" s="1"/>
  <c r="N571" i="5" s="1"/>
  <c r="K570" i="5"/>
  <c r="D570" i="5"/>
  <c r="I570" i="5" s="1"/>
  <c r="N570" i="5" s="1"/>
  <c r="K569" i="5"/>
  <c r="D569" i="5"/>
  <c r="I569" i="5" s="1"/>
  <c r="N569" i="5" s="1"/>
  <c r="K568" i="5"/>
  <c r="D568" i="5"/>
  <c r="I568" i="5" s="1"/>
  <c r="N568" i="5" s="1"/>
  <c r="I567" i="5"/>
  <c r="N567" i="5" s="1"/>
  <c r="I566" i="5"/>
  <c r="N566" i="5" s="1"/>
  <c r="I565" i="5"/>
  <c r="N565" i="5" s="1"/>
  <c r="I564" i="5"/>
  <c r="N564" i="5" s="1"/>
  <c r="K559" i="5"/>
  <c r="D559" i="5"/>
  <c r="I559" i="5" s="1"/>
  <c r="N559" i="5" s="1"/>
  <c r="K558" i="5"/>
  <c r="D558" i="5"/>
  <c r="I558" i="5" s="1"/>
  <c r="N558" i="5" s="1"/>
  <c r="K557" i="5"/>
  <c r="D557" i="5"/>
  <c r="I557" i="5" s="1"/>
  <c r="N557" i="5" s="1"/>
  <c r="K556" i="5"/>
  <c r="D556" i="5"/>
  <c r="I556" i="5" s="1"/>
  <c r="N556" i="5" s="1"/>
  <c r="K555" i="5"/>
  <c r="D555" i="5"/>
  <c r="I555" i="5" s="1"/>
  <c r="N555" i="5" s="1"/>
  <c r="K554" i="5"/>
  <c r="D554" i="5"/>
  <c r="I554" i="5" s="1"/>
  <c r="N554" i="5" s="1"/>
  <c r="K553" i="5"/>
  <c r="D553" i="5"/>
  <c r="I553" i="5" s="1"/>
  <c r="N553" i="5" s="1"/>
  <c r="K552" i="5"/>
  <c r="D552" i="5"/>
  <c r="I552" i="5" s="1"/>
  <c r="N552" i="5" s="1"/>
  <c r="K551" i="5"/>
  <c r="D551" i="5"/>
  <c r="I551" i="5" s="1"/>
  <c r="N551" i="5" s="1"/>
  <c r="K550" i="5"/>
  <c r="D550" i="5"/>
  <c r="I550" i="5" s="1"/>
  <c r="N550" i="5" s="1"/>
  <c r="K549" i="5"/>
  <c r="D549" i="5"/>
  <c r="I549" i="5" s="1"/>
  <c r="N549" i="5" s="1"/>
  <c r="I548" i="5"/>
  <c r="N548" i="5" s="1"/>
  <c r="I547" i="5"/>
  <c r="N547" i="5" s="1"/>
  <c r="I546" i="5"/>
  <c r="N546" i="5" s="1"/>
  <c r="I545" i="5"/>
  <c r="N545" i="5" s="1"/>
  <c r="R540" i="5"/>
  <c r="K540" i="5"/>
  <c r="D540" i="5"/>
  <c r="I540" i="5" s="1"/>
  <c r="N540" i="5" s="1"/>
  <c r="R539" i="5"/>
  <c r="K539" i="5"/>
  <c r="D539" i="5"/>
  <c r="I539" i="5" s="1"/>
  <c r="N539" i="5" s="1"/>
  <c r="R538" i="5"/>
  <c r="K538" i="5"/>
  <c r="D538" i="5"/>
  <c r="I538" i="5" s="1"/>
  <c r="N538" i="5" s="1"/>
  <c r="R537" i="5"/>
  <c r="K537" i="5"/>
  <c r="D537" i="5"/>
  <c r="I537" i="5" s="1"/>
  <c r="N537" i="5" s="1"/>
  <c r="R536" i="5"/>
  <c r="K536" i="5"/>
  <c r="D536" i="5"/>
  <c r="I536" i="5" s="1"/>
  <c r="N536" i="5" s="1"/>
  <c r="R535" i="5"/>
  <c r="K535" i="5"/>
  <c r="D535" i="5"/>
  <c r="I535" i="5" s="1"/>
  <c r="N535" i="5" s="1"/>
  <c r="R534" i="5"/>
  <c r="K534" i="5"/>
  <c r="D534" i="5"/>
  <c r="I534" i="5" s="1"/>
  <c r="N534" i="5" s="1"/>
  <c r="R533" i="5"/>
  <c r="K533" i="5"/>
  <c r="D533" i="5"/>
  <c r="I533" i="5" s="1"/>
  <c r="N533" i="5" s="1"/>
  <c r="R532" i="5"/>
  <c r="K532" i="5"/>
  <c r="D532" i="5"/>
  <c r="I532" i="5" s="1"/>
  <c r="N532" i="5" s="1"/>
  <c r="R531" i="5"/>
  <c r="K531" i="5"/>
  <c r="D531" i="5"/>
  <c r="I531" i="5" s="1"/>
  <c r="N531" i="5" s="1"/>
  <c r="R530" i="5"/>
  <c r="K530" i="5"/>
  <c r="D530" i="5"/>
  <c r="I530" i="5" s="1"/>
  <c r="N530" i="5" s="1"/>
  <c r="I529" i="5"/>
  <c r="N529" i="5" s="1"/>
  <c r="I528" i="5"/>
  <c r="N528" i="5" s="1"/>
  <c r="I527" i="5"/>
  <c r="N527" i="5" s="1"/>
  <c r="I526" i="5"/>
  <c r="N526" i="5" s="1"/>
  <c r="K522" i="5"/>
  <c r="E522" i="5"/>
  <c r="D522" i="5"/>
  <c r="K521" i="5"/>
  <c r="E521" i="5"/>
  <c r="D521" i="5"/>
  <c r="K520" i="5"/>
  <c r="E520" i="5"/>
  <c r="D520" i="5"/>
  <c r="K519" i="5"/>
  <c r="E519" i="5"/>
  <c r="D519" i="5"/>
  <c r="K518" i="5"/>
  <c r="E518" i="5"/>
  <c r="D518" i="5"/>
  <c r="E517" i="5"/>
  <c r="I517" i="5" s="1"/>
  <c r="G896" i="1" s="1"/>
  <c r="E516" i="5"/>
  <c r="I516" i="5" s="1"/>
  <c r="G895" i="1" s="1"/>
  <c r="E515" i="5"/>
  <c r="I515" i="5" s="1"/>
  <c r="G894" i="1" s="1"/>
  <c r="E514" i="5"/>
  <c r="I514" i="5" s="1"/>
  <c r="G893" i="1" s="1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2" i="5"/>
  <c r="G823" i="1" s="1"/>
  <c r="I291" i="5"/>
  <c r="G822" i="1" s="1"/>
  <c r="I290" i="5"/>
  <c r="G821" i="1" s="1"/>
  <c r="I289" i="5"/>
  <c r="G820" i="1" s="1"/>
  <c r="I288" i="5"/>
  <c r="G819" i="1" s="1"/>
  <c r="I287" i="5"/>
  <c r="G818" i="1" s="1"/>
  <c r="I286" i="5"/>
  <c r="G817" i="1" s="1"/>
  <c r="I285" i="5"/>
  <c r="G816" i="1" s="1"/>
  <c r="I284" i="5"/>
  <c r="G815" i="1" s="1"/>
  <c r="I283" i="5"/>
  <c r="G814" i="1" s="1"/>
  <c r="I282" i="5"/>
  <c r="I281" i="5"/>
  <c r="G813" i="1" s="1"/>
  <c r="I280" i="5"/>
  <c r="G812" i="1" s="1"/>
  <c r="I279" i="5"/>
  <c r="I278" i="5"/>
  <c r="G811" i="1" s="1"/>
  <c r="I277" i="5"/>
  <c r="G810" i="1" s="1"/>
  <c r="I276" i="5"/>
  <c r="G809" i="1" s="1"/>
  <c r="I275" i="5"/>
  <c r="G808" i="1" s="1"/>
  <c r="Q267" i="5"/>
  <c r="Q266" i="5"/>
  <c r="K266" i="5"/>
  <c r="D266" i="5"/>
  <c r="I266" i="5" s="1"/>
  <c r="Q265" i="5"/>
  <c r="K265" i="5"/>
  <c r="D265" i="5"/>
  <c r="I265" i="5" s="1"/>
  <c r="Q264" i="5"/>
  <c r="K264" i="5"/>
  <c r="D264" i="5"/>
  <c r="I264" i="5" s="1"/>
  <c r="Q263" i="5"/>
  <c r="K263" i="5"/>
  <c r="D263" i="5"/>
  <c r="I263" i="5" s="1"/>
  <c r="K262" i="5"/>
  <c r="I262" i="5"/>
  <c r="I261" i="5"/>
  <c r="I260" i="5"/>
  <c r="I259" i="5"/>
  <c r="I258" i="5"/>
  <c r="I257" i="5"/>
  <c r="I256" i="5"/>
  <c r="I255" i="5"/>
  <c r="I254" i="5"/>
  <c r="I253" i="5"/>
  <c r="I252" i="5"/>
  <c r="K241" i="5"/>
  <c r="D241" i="5"/>
  <c r="I241" i="5" s="1"/>
  <c r="K240" i="5"/>
  <c r="D240" i="5"/>
  <c r="I240" i="5" s="1"/>
  <c r="K239" i="5"/>
  <c r="D239" i="5"/>
  <c r="I239" i="5" s="1"/>
  <c r="K238" i="5"/>
  <c r="D238" i="5"/>
  <c r="I238" i="5" s="1"/>
  <c r="K237" i="5"/>
  <c r="D237" i="5"/>
  <c r="I237" i="5" s="1"/>
  <c r="G891" i="1" s="1"/>
  <c r="K236" i="5"/>
  <c r="D236" i="5"/>
  <c r="I236" i="5" s="1"/>
  <c r="G890" i="1" s="1"/>
  <c r="K235" i="5"/>
  <c r="D235" i="5"/>
  <c r="I235" i="5" s="1"/>
  <c r="G889" i="1" s="1"/>
  <c r="K234" i="5"/>
  <c r="D234" i="5"/>
  <c r="I234" i="5" s="1"/>
  <c r="G888" i="1" s="1"/>
  <c r="K233" i="5"/>
  <c r="D233" i="5"/>
  <c r="I233" i="5" s="1"/>
  <c r="G887" i="1" s="1"/>
  <c r="K232" i="5"/>
  <c r="D232" i="5"/>
  <c r="I232" i="5" s="1"/>
  <c r="G886" i="1" s="1"/>
  <c r="K231" i="5"/>
  <c r="D231" i="5"/>
  <c r="I231" i="5" s="1"/>
  <c r="G885" i="1" s="1"/>
  <c r="K230" i="5"/>
  <c r="D230" i="5"/>
  <c r="I230" i="5" s="1"/>
  <c r="G884" i="1" s="1"/>
  <c r="K229" i="5"/>
  <c r="D229" i="5"/>
  <c r="I229" i="5" s="1"/>
  <c r="G883" i="1" s="1"/>
  <c r="K228" i="5"/>
  <c r="D228" i="5"/>
  <c r="I228" i="5" s="1"/>
  <c r="G882" i="1" s="1"/>
  <c r="I227" i="5"/>
  <c r="G881" i="1" s="1"/>
  <c r="I226" i="5"/>
  <c r="G880" i="1" s="1"/>
  <c r="I246" i="5"/>
  <c r="I225" i="5"/>
  <c r="G879" i="1" s="1"/>
  <c r="I224" i="5"/>
  <c r="G878" i="1" s="1"/>
  <c r="I223" i="5"/>
  <c r="G877" i="1" s="1"/>
  <c r="I245" i="5"/>
  <c r="I244" i="5"/>
  <c r="I222" i="5"/>
  <c r="G876" i="1" s="1"/>
  <c r="K218" i="5"/>
  <c r="D218" i="5"/>
  <c r="I218" i="5" s="1"/>
  <c r="K217" i="5"/>
  <c r="D217" i="5"/>
  <c r="I217" i="5" s="1"/>
  <c r="K216" i="5"/>
  <c r="D216" i="5"/>
  <c r="I216" i="5" s="1"/>
  <c r="K215" i="5"/>
  <c r="D215" i="5"/>
  <c r="I215" i="5" s="1"/>
  <c r="K214" i="5"/>
  <c r="D214" i="5"/>
  <c r="I214" i="5" s="1"/>
  <c r="K213" i="5"/>
  <c r="D213" i="5"/>
  <c r="I213" i="5" s="1"/>
  <c r="K202" i="5"/>
  <c r="D202" i="5"/>
  <c r="I202" i="5" s="1"/>
  <c r="K201" i="5"/>
  <c r="D201" i="5"/>
  <c r="I201" i="5" s="1"/>
  <c r="K200" i="5"/>
  <c r="D200" i="5"/>
  <c r="I200" i="5" s="1"/>
  <c r="G874" i="1" s="1"/>
  <c r="K199" i="5"/>
  <c r="D199" i="5"/>
  <c r="I199" i="5" s="1"/>
  <c r="G873" i="1" s="1"/>
  <c r="K198" i="5"/>
  <c r="D198" i="5"/>
  <c r="I198" i="5" s="1"/>
  <c r="G872" i="1" s="1"/>
  <c r="K197" i="5"/>
  <c r="D197" i="5"/>
  <c r="I197" i="5" s="1"/>
  <c r="G871" i="1" s="1"/>
  <c r="K196" i="5"/>
  <c r="D196" i="5"/>
  <c r="I196" i="5" s="1"/>
  <c r="G870" i="1" s="1"/>
  <c r="K195" i="5"/>
  <c r="D195" i="5"/>
  <c r="I195" i="5" s="1"/>
  <c r="G869" i="1" s="1"/>
  <c r="D194" i="5"/>
  <c r="I194" i="5" s="1"/>
  <c r="G868" i="1" s="1"/>
  <c r="D193" i="5"/>
  <c r="I193" i="5" s="1"/>
  <c r="G867" i="1" s="1"/>
  <c r="D211" i="5"/>
  <c r="I211" i="5" s="1"/>
  <c r="I192" i="5"/>
  <c r="G866" i="1" s="1"/>
  <c r="I210" i="5"/>
  <c r="I191" i="5"/>
  <c r="G865" i="1" s="1"/>
  <c r="I209" i="5"/>
  <c r="I208" i="5"/>
  <c r="I190" i="5"/>
  <c r="G864" i="1" s="1"/>
  <c r="I207" i="5"/>
  <c r="I189" i="5"/>
  <c r="G863" i="1" s="1"/>
  <c r="I188" i="5"/>
  <c r="G862" i="1" s="1"/>
  <c r="I205" i="5"/>
  <c r="I204" i="5"/>
  <c r="I187" i="5"/>
  <c r="G861" i="1" s="1"/>
  <c r="I186" i="5"/>
  <c r="G860" i="1" s="1"/>
  <c r="I185" i="5"/>
  <c r="G859" i="1" s="1"/>
  <c r="K180" i="5"/>
  <c r="D180" i="5"/>
  <c r="I180" i="5" s="1"/>
  <c r="K179" i="5"/>
  <c r="D179" i="5"/>
  <c r="I179" i="5" s="1"/>
  <c r="K178" i="5"/>
  <c r="D178" i="5"/>
  <c r="I178" i="5" s="1"/>
  <c r="K177" i="5"/>
  <c r="D177" i="5"/>
  <c r="I177" i="5" s="1"/>
  <c r="K175" i="5"/>
  <c r="D175" i="5"/>
  <c r="I175" i="5" s="1"/>
  <c r="K174" i="5"/>
  <c r="D174" i="5"/>
  <c r="I174" i="5" s="1"/>
  <c r="K173" i="5"/>
  <c r="D173" i="5"/>
  <c r="I173" i="5" s="1"/>
  <c r="K172" i="5"/>
  <c r="D172" i="5"/>
  <c r="I172" i="5" s="1"/>
  <c r="K171" i="5"/>
  <c r="D171" i="5"/>
  <c r="I171" i="5" s="1"/>
  <c r="K170" i="5"/>
  <c r="D170" i="5"/>
  <c r="I170" i="5" s="1"/>
  <c r="K169" i="5"/>
  <c r="D169" i="5"/>
  <c r="I169" i="5" s="1"/>
  <c r="K168" i="5"/>
  <c r="D168" i="5"/>
  <c r="I168" i="5" s="1"/>
  <c r="Q167" i="5"/>
  <c r="D167" i="5"/>
  <c r="I167" i="5" s="1"/>
  <c r="Q166" i="5"/>
  <c r="I166" i="5"/>
  <c r="Q165" i="5"/>
  <c r="I165" i="5"/>
  <c r="I164" i="5"/>
  <c r="I163" i="5"/>
  <c r="I162" i="5"/>
  <c r="K159" i="5"/>
  <c r="D159" i="5"/>
  <c r="I159" i="5" s="1"/>
  <c r="K158" i="5"/>
  <c r="D158" i="5"/>
  <c r="I158" i="5" s="1"/>
  <c r="K157" i="5"/>
  <c r="D157" i="5"/>
  <c r="I157" i="5" s="1"/>
  <c r="K156" i="5"/>
  <c r="D156" i="5"/>
  <c r="I156" i="5" s="1"/>
  <c r="D155" i="5"/>
  <c r="I155" i="5" s="1"/>
  <c r="L155" i="5" s="1"/>
  <c r="D154" i="5"/>
  <c r="I154" i="5" s="1"/>
  <c r="L154" i="5" s="1"/>
  <c r="I153" i="5"/>
  <c r="L153" i="5" s="1"/>
  <c r="I152" i="5"/>
  <c r="L152" i="5" s="1"/>
  <c r="I151" i="5"/>
  <c r="L151" i="5" s="1"/>
  <c r="I150" i="5"/>
  <c r="L150" i="5" s="1"/>
  <c r="I149" i="5"/>
  <c r="L149" i="5" s="1"/>
  <c r="I148" i="5"/>
  <c r="L148" i="5" s="1"/>
  <c r="I147" i="5"/>
  <c r="L147" i="5" s="1"/>
  <c r="I146" i="5"/>
  <c r="L146" i="5" s="1"/>
  <c r="K142" i="5"/>
  <c r="D142" i="5"/>
  <c r="I142" i="5" s="1"/>
  <c r="K141" i="5"/>
  <c r="D141" i="5"/>
  <c r="I141" i="5" s="1"/>
  <c r="K140" i="5"/>
  <c r="D140" i="5"/>
  <c r="I140" i="5" s="1"/>
  <c r="K139" i="5"/>
  <c r="D139" i="5"/>
  <c r="I139" i="5" s="1"/>
  <c r="D138" i="5"/>
  <c r="I138" i="5" s="1"/>
  <c r="L138" i="5" s="1"/>
  <c r="D137" i="5"/>
  <c r="I137" i="5" s="1"/>
  <c r="L137" i="5" s="1"/>
  <c r="I136" i="5"/>
  <c r="L136" i="5" s="1"/>
  <c r="I135" i="5"/>
  <c r="L135" i="5" s="1"/>
  <c r="I134" i="5"/>
  <c r="L134" i="5" s="1"/>
  <c r="I133" i="5"/>
  <c r="L133" i="5" s="1"/>
  <c r="I132" i="5"/>
  <c r="L132" i="5" s="1"/>
  <c r="I131" i="5"/>
  <c r="L131" i="5" s="1"/>
  <c r="I130" i="5"/>
  <c r="L130" i="5" s="1"/>
  <c r="I129" i="5"/>
  <c r="L129" i="5" s="1"/>
  <c r="Q127" i="5"/>
  <c r="Q126" i="5"/>
  <c r="Q125" i="5"/>
  <c r="K125" i="5"/>
  <c r="D125" i="5"/>
  <c r="I125" i="5" s="1"/>
  <c r="Q124" i="5"/>
  <c r="D124" i="5"/>
  <c r="I124" i="5" s="1"/>
  <c r="L124" i="5" s="1"/>
  <c r="Q123" i="5"/>
  <c r="N123" i="5"/>
  <c r="K123" i="5"/>
  <c r="D123" i="5"/>
  <c r="I123" i="5" s="1"/>
  <c r="Q122" i="5"/>
  <c r="N122" i="5"/>
  <c r="K122" i="5"/>
  <c r="D122" i="5"/>
  <c r="I122" i="5" s="1"/>
  <c r="Q121" i="5"/>
  <c r="N121" i="5"/>
  <c r="K121" i="5"/>
  <c r="D121" i="5"/>
  <c r="I121" i="5" s="1"/>
  <c r="Q120" i="5"/>
  <c r="N120" i="5"/>
  <c r="K120" i="5"/>
  <c r="D120" i="5"/>
  <c r="I120" i="5" s="1"/>
  <c r="Q119" i="5"/>
  <c r="N119" i="5"/>
  <c r="D119" i="5"/>
  <c r="I119" i="5" s="1"/>
  <c r="L119" i="5" s="1"/>
  <c r="Q118" i="5"/>
  <c r="N118" i="5"/>
  <c r="D118" i="5"/>
  <c r="I118" i="5" s="1"/>
  <c r="L118" i="5" s="1"/>
  <c r="Q117" i="5"/>
  <c r="N117" i="5"/>
  <c r="I117" i="5"/>
  <c r="L117" i="5" s="1"/>
  <c r="Q116" i="5"/>
  <c r="N116" i="5"/>
  <c r="I116" i="5"/>
  <c r="L116" i="5" s="1"/>
  <c r="Q115" i="5"/>
  <c r="N115" i="5"/>
  <c r="I115" i="5"/>
  <c r="L115" i="5" s="1"/>
  <c r="N114" i="5"/>
  <c r="I114" i="5"/>
  <c r="L114" i="5" s="1"/>
  <c r="N113" i="5"/>
  <c r="I113" i="5"/>
  <c r="L113" i="5" s="1"/>
  <c r="N112" i="5"/>
  <c r="I112" i="5"/>
  <c r="L112" i="5" s="1"/>
  <c r="N111" i="5"/>
  <c r="I111" i="5"/>
  <c r="L111" i="5" s="1"/>
  <c r="N110" i="5"/>
  <c r="I110" i="5"/>
  <c r="L110" i="5" s="1"/>
  <c r="Q106" i="5"/>
  <c r="K106" i="5"/>
  <c r="D106" i="5"/>
  <c r="I106" i="5" s="1"/>
  <c r="Q105" i="5"/>
  <c r="K105" i="5"/>
  <c r="D105" i="5"/>
  <c r="I105" i="5" s="1"/>
  <c r="Q104" i="5"/>
  <c r="K104" i="5"/>
  <c r="D104" i="5"/>
  <c r="I104" i="5" s="1"/>
  <c r="Q103" i="5"/>
  <c r="K103" i="5"/>
  <c r="D103" i="5"/>
  <c r="I103" i="5" s="1"/>
  <c r="Q102" i="5"/>
  <c r="D102" i="5"/>
  <c r="I102" i="5" s="1"/>
  <c r="L102" i="5" s="1"/>
  <c r="Q101" i="5"/>
  <c r="K101" i="5"/>
  <c r="D101" i="5"/>
  <c r="I101" i="5" s="1"/>
  <c r="Q100" i="5"/>
  <c r="K100" i="5"/>
  <c r="D100" i="5"/>
  <c r="I100" i="5" s="1"/>
  <c r="Q99" i="5"/>
  <c r="K99" i="5"/>
  <c r="D99" i="5"/>
  <c r="I99" i="5" s="1"/>
  <c r="Q98" i="5"/>
  <c r="K98" i="5"/>
  <c r="D98" i="5"/>
  <c r="I98" i="5" s="1"/>
  <c r="Q97" i="5"/>
  <c r="D97" i="5"/>
  <c r="I97" i="5" s="1"/>
  <c r="L97" i="5" s="1"/>
  <c r="Q96" i="5"/>
  <c r="D96" i="5"/>
  <c r="I96" i="5" s="1"/>
  <c r="L96" i="5" s="1"/>
  <c r="I95" i="5"/>
  <c r="L95" i="5" s="1"/>
  <c r="I94" i="5"/>
  <c r="L94" i="5" s="1"/>
  <c r="I93" i="5"/>
  <c r="L93" i="5" s="1"/>
  <c r="I92" i="5"/>
  <c r="L92" i="5" s="1"/>
  <c r="I91" i="5"/>
  <c r="L91" i="5" s="1"/>
  <c r="I90" i="5"/>
  <c r="L90" i="5" s="1"/>
  <c r="Q89" i="5"/>
  <c r="I89" i="5"/>
  <c r="L89" i="5" s="1"/>
  <c r="Q88" i="5"/>
  <c r="I88" i="5"/>
  <c r="L88" i="5" s="1"/>
  <c r="K81" i="5"/>
  <c r="D81" i="5"/>
  <c r="I81" i="5" s="1"/>
  <c r="K80" i="5"/>
  <c r="D80" i="5"/>
  <c r="I80" i="5" s="1"/>
  <c r="K79" i="5"/>
  <c r="D79" i="5"/>
  <c r="I79" i="5" s="1"/>
  <c r="K78" i="5"/>
  <c r="D78" i="5"/>
  <c r="I78" i="5" s="1"/>
  <c r="G857" i="1" s="1"/>
  <c r="K77" i="5"/>
  <c r="D77" i="5"/>
  <c r="I77" i="5" s="1"/>
  <c r="G856" i="1" s="1"/>
  <c r="K76" i="5"/>
  <c r="D76" i="5"/>
  <c r="I76" i="5" s="1"/>
  <c r="G855" i="1" s="1"/>
  <c r="K75" i="5"/>
  <c r="D75" i="5"/>
  <c r="I75" i="5" s="1"/>
  <c r="G854" i="1" s="1"/>
  <c r="K74" i="5"/>
  <c r="D74" i="5"/>
  <c r="I74" i="5" s="1"/>
  <c r="G853" i="1" s="1"/>
  <c r="K73" i="5"/>
  <c r="D73" i="5"/>
  <c r="I73" i="5" s="1"/>
  <c r="G852" i="1" s="1"/>
  <c r="K72" i="5"/>
  <c r="D72" i="5"/>
  <c r="I72" i="5" s="1"/>
  <c r="G851" i="1" s="1"/>
  <c r="K71" i="5"/>
  <c r="D71" i="5"/>
  <c r="I71" i="5" s="1"/>
  <c r="G850" i="1" s="1"/>
  <c r="K70" i="5"/>
  <c r="D70" i="5"/>
  <c r="I70" i="5" s="1"/>
  <c r="G849" i="1" s="1"/>
  <c r="K69" i="5"/>
  <c r="D69" i="5"/>
  <c r="I69" i="5" s="1"/>
  <c r="G848" i="1" s="1"/>
  <c r="K68" i="5"/>
  <c r="D68" i="5"/>
  <c r="I68" i="5" s="1"/>
  <c r="G847" i="1" s="1"/>
  <c r="K26" i="5"/>
  <c r="D26" i="5"/>
  <c r="I26" i="5" s="1"/>
  <c r="K25" i="5"/>
  <c r="D25" i="5"/>
  <c r="I25" i="5" s="1"/>
  <c r="K24" i="5"/>
  <c r="D24" i="5"/>
  <c r="I24" i="5" s="1"/>
  <c r="K23" i="5"/>
  <c r="D23" i="5"/>
  <c r="I23" i="5" s="1"/>
  <c r="G840" i="1" s="1"/>
  <c r="D22" i="5"/>
  <c r="I22" i="5" s="1"/>
  <c r="L22" i="5" s="1"/>
  <c r="K21" i="5"/>
  <c r="D21" i="5"/>
  <c r="I21" i="5" s="1"/>
  <c r="G838" i="1" s="1"/>
  <c r="K20" i="5"/>
  <c r="D20" i="5"/>
  <c r="I20" i="5" s="1"/>
  <c r="G837" i="1" s="1"/>
  <c r="K19" i="5"/>
  <c r="D19" i="5"/>
  <c r="I19" i="5" s="1"/>
  <c r="G836" i="1" s="1"/>
  <c r="D18" i="5"/>
  <c r="I18" i="5" s="1"/>
  <c r="L18" i="5" s="1"/>
  <c r="D17" i="5"/>
  <c r="I17" i="5" s="1"/>
  <c r="L17" i="5" s="1"/>
  <c r="D16" i="5"/>
  <c r="I16" i="5" s="1"/>
  <c r="L16" i="5" s="1"/>
  <c r="I15" i="5"/>
  <c r="L15" i="5" s="1"/>
  <c r="I14" i="5"/>
  <c r="L14" i="5" s="1"/>
  <c r="I13" i="5"/>
  <c r="L13" i="5" s="1"/>
  <c r="I12" i="5"/>
  <c r="L12" i="5" s="1"/>
  <c r="I11" i="5"/>
  <c r="L11" i="5" s="1"/>
  <c r="I10" i="5"/>
  <c r="L10" i="5" s="1"/>
  <c r="I9" i="5"/>
  <c r="L9" i="5" s="1"/>
  <c r="I8" i="5"/>
  <c r="L8" i="5" s="1"/>
  <c r="S417" i="4"/>
  <c r="S416" i="4"/>
  <c r="S415" i="4"/>
  <c r="S414" i="4"/>
  <c r="S413" i="4"/>
  <c r="T373" i="4"/>
  <c r="O373" i="4"/>
  <c r="T372" i="4"/>
  <c r="T371" i="4"/>
  <c r="T370" i="4"/>
  <c r="T369" i="4"/>
  <c r="T368" i="4"/>
  <c r="T346" i="4"/>
  <c r="T345" i="4"/>
  <c r="T344" i="4"/>
  <c r="T343" i="4"/>
  <c r="T342" i="4"/>
  <c r="T341" i="4"/>
  <c r="T340" i="4"/>
  <c r="T339" i="4"/>
  <c r="T338" i="4"/>
  <c r="S320" i="4"/>
  <c r="S319" i="4"/>
  <c r="S318" i="4"/>
  <c r="S317" i="4"/>
  <c r="S316" i="4"/>
  <c r="S315" i="4"/>
  <c r="S314" i="4"/>
  <c r="S313" i="4"/>
  <c r="S312" i="4"/>
  <c r="S311" i="4"/>
  <c r="I299" i="4"/>
  <c r="I298" i="4"/>
  <c r="I297" i="4"/>
  <c r="I296" i="4"/>
  <c r="I295" i="4"/>
  <c r="I294" i="4"/>
  <c r="I293" i="4"/>
  <c r="I292" i="4"/>
  <c r="I291" i="4"/>
  <c r="I286" i="4"/>
  <c r="I285" i="4"/>
  <c r="I284" i="4"/>
  <c r="I283" i="4"/>
  <c r="I282" i="4"/>
  <c r="I281" i="4"/>
  <c r="I280" i="4"/>
  <c r="I279" i="4"/>
  <c r="I278" i="4"/>
  <c r="I273" i="4"/>
  <c r="I272" i="4"/>
  <c r="I271" i="4"/>
  <c r="I270" i="4"/>
  <c r="I269" i="4"/>
  <c r="I268" i="4"/>
  <c r="I267" i="4"/>
  <c r="I266" i="4"/>
  <c r="I265" i="4"/>
  <c r="I260" i="4"/>
  <c r="I259" i="4"/>
  <c r="I258" i="4"/>
  <c r="I257" i="4"/>
  <c r="I256" i="4"/>
  <c r="I255" i="4"/>
  <c r="I254" i="4"/>
  <c r="I249" i="4"/>
  <c r="I248" i="4"/>
  <c r="I247" i="4"/>
  <c r="I246" i="4"/>
  <c r="I245" i="4"/>
  <c r="I244" i="4"/>
  <c r="I243" i="4"/>
  <c r="I242" i="4"/>
  <c r="I241" i="4"/>
  <c r="I236" i="4"/>
  <c r="I235" i="4"/>
  <c r="I234" i="4"/>
  <c r="I233" i="4"/>
  <c r="I232" i="4"/>
  <c r="I231" i="4"/>
  <c r="I230" i="4"/>
  <c r="I229" i="4"/>
  <c r="I228" i="4"/>
  <c r="I223" i="4"/>
  <c r="I222" i="4"/>
  <c r="I221" i="4"/>
  <c r="I220" i="4"/>
  <c r="I219" i="4"/>
  <c r="I218" i="4"/>
  <c r="I217" i="4"/>
  <c r="I216" i="4"/>
  <c r="I215" i="4"/>
  <c r="I210" i="4"/>
  <c r="I209" i="4"/>
  <c r="I208" i="4"/>
  <c r="I207" i="4"/>
  <c r="I206" i="4"/>
  <c r="I205" i="4"/>
  <c r="I204" i="4"/>
  <c r="I198" i="4"/>
  <c r="I197" i="4"/>
  <c r="I196" i="4"/>
  <c r="I195" i="4"/>
  <c r="I194" i="4"/>
  <c r="I193" i="4"/>
  <c r="I192" i="4"/>
  <c r="I191" i="4"/>
  <c r="I190" i="4"/>
  <c r="I185" i="4"/>
  <c r="I184" i="4"/>
  <c r="I183" i="4"/>
  <c r="I182" i="4"/>
  <c r="I181" i="4"/>
  <c r="I180" i="4"/>
  <c r="I179" i="4"/>
  <c r="I178" i="4"/>
  <c r="I177" i="4"/>
  <c r="I171" i="4"/>
  <c r="I170" i="4"/>
  <c r="I169" i="4"/>
  <c r="I168" i="4"/>
  <c r="I167" i="4"/>
  <c r="I166" i="4"/>
  <c r="I165" i="4"/>
  <c r="I164" i="4"/>
  <c r="I163" i="4"/>
  <c r="I159" i="4"/>
  <c r="I158" i="4"/>
  <c r="I157" i="4"/>
  <c r="I156" i="4"/>
  <c r="I155" i="4"/>
  <c r="I154" i="4"/>
  <c r="I153" i="4"/>
  <c r="I152" i="4"/>
  <c r="I151" i="4"/>
  <c r="I145" i="4"/>
  <c r="I144" i="4"/>
  <c r="I143" i="4"/>
  <c r="I142" i="4"/>
  <c r="I141" i="4"/>
  <c r="I140" i="4"/>
  <c r="I139" i="4"/>
  <c r="I138" i="4"/>
  <c r="I137" i="4"/>
  <c r="I130" i="4"/>
  <c r="I129" i="4"/>
  <c r="I128" i="4"/>
  <c r="I127" i="4"/>
  <c r="I126" i="4"/>
  <c r="I125" i="4"/>
  <c r="I124" i="4"/>
  <c r="I123" i="4"/>
  <c r="I122" i="4"/>
  <c r="I117" i="4"/>
  <c r="I116" i="4"/>
  <c r="I115" i="4"/>
  <c r="I114" i="4"/>
  <c r="I113" i="4"/>
  <c r="I112" i="4"/>
  <c r="I111" i="4"/>
  <c r="I110" i="4"/>
  <c r="I109" i="4"/>
  <c r="I103" i="4"/>
  <c r="I102" i="4"/>
  <c r="I101" i="4"/>
  <c r="I100" i="4"/>
  <c r="I99" i="4"/>
  <c r="I98" i="4"/>
  <c r="I97" i="4"/>
  <c r="I96" i="4"/>
  <c r="I95" i="4"/>
  <c r="D88" i="4"/>
  <c r="I88" i="4" s="1"/>
  <c r="I87" i="4"/>
  <c r="D87" i="4"/>
  <c r="I86" i="4"/>
  <c r="I85" i="4"/>
  <c r="I84" i="4"/>
  <c r="I83" i="4"/>
  <c r="I82" i="4"/>
  <c r="I81" i="4"/>
  <c r="I80" i="4"/>
  <c r="I79" i="4"/>
  <c r="I78" i="4"/>
  <c r="I77" i="4"/>
  <c r="I76" i="4"/>
  <c r="I67" i="4"/>
  <c r="I66" i="4"/>
  <c r="I65" i="4"/>
  <c r="I60" i="4"/>
  <c r="I59" i="4"/>
  <c r="I58" i="4"/>
  <c r="I57" i="4"/>
  <c r="I56" i="4"/>
  <c r="I55" i="4"/>
  <c r="I54" i="4"/>
  <c r="I53" i="4"/>
  <c r="I52" i="4"/>
  <c r="I51" i="4"/>
  <c r="I50" i="4"/>
  <c r="I45" i="4"/>
  <c r="I44" i="4"/>
  <c r="I43" i="4"/>
  <c r="I42" i="4"/>
  <c r="I41" i="4"/>
  <c r="I40" i="4"/>
  <c r="I39" i="4"/>
  <c r="I38" i="4"/>
  <c r="I37" i="4"/>
  <c r="I36" i="4"/>
  <c r="I35" i="4"/>
  <c r="I30" i="4"/>
  <c r="I29" i="4"/>
  <c r="I28" i="4"/>
  <c r="I27" i="4"/>
  <c r="I26" i="4"/>
  <c r="I25" i="4"/>
  <c r="I24" i="4"/>
  <c r="I23" i="4"/>
  <c r="I22" i="4"/>
  <c r="I21" i="4"/>
  <c r="I20" i="4"/>
  <c r="I15" i="4"/>
  <c r="I14" i="4"/>
  <c r="I13" i="4"/>
  <c r="I12" i="4"/>
  <c r="I11" i="4"/>
  <c r="I10" i="4"/>
  <c r="I9" i="4"/>
  <c r="I8" i="4"/>
  <c r="I7" i="4"/>
  <c r="I6" i="4"/>
  <c r="L166" i="3"/>
  <c r="L165" i="3"/>
  <c r="L164" i="3"/>
  <c r="L163" i="3"/>
  <c r="L162" i="3"/>
  <c r="L161" i="3"/>
  <c r="L160" i="3"/>
  <c r="L159" i="3"/>
  <c r="L158" i="3"/>
  <c r="L154" i="3"/>
  <c r="L153" i="3"/>
  <c r="L152" i="3"/>
  <c r="L151" i="3"/>
  <c r="L150" i="3"/>
  <c r="L149" i="3"/>
  <c r="L148" i="3"/>
  <c r="L147" i="3"/>
  <c r="L143" i="3"/>
  <c r="L142" i="3"/>
  <c r="L141" i="3"/>
  <c r="L140" i="3"/>
  <c r="L139" i="3"/>
  <c r="N138" i="3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L138" i="3"/>
  <c r="D134" i="3"/>
  <c r="I133" i="3"/>
  <c r="I134" i="3" s="1"/>
  <c r="D133" i="3"/>
  <c r="I132" i="3"/>
  <c r="D132" i="3"/>
  <c r="L132" i="3" s="1"/>
  <c r="E131" i="3"/>
  <c r="E132" i="3" s="1"/>
  <c r="E133" i="3" s="1"/>
  <c r="D131" i="3"/>
  <c r="L131" i="3" s="1"/>
  <c r="L130" i="3"/>
  <c r="D130" i="3"/>
  <c r="K126" i="3"/>
  <c r="K125" i="3"/>
  <c r="K124" i="3"/>
  <c r="E124" i="3"/>
  <c r="E125" i="3" s="1"/>
  <c r="K123" i="3"/>
  <c r="I123" i="3"/>
  <c r="I124" i="3" s="1"/>
  <c r="K122" i="3"/>
  <c r="L122" i="3" s="1"/>
  <c r="K121" i="3"/>
  <c r="L121" i="3" s="1"/>
  <c r="L111" i="3"/>
  <c r="I111" i="3"/>
  <c r="I113" i="3" s="1"/>
  <c r="I115" i="3" s="1"/>
  <c r="I116" i="3" s="1"/>
  <c r="E111" i="3"/>
  <c r="E113" i="3" s="1"/>
  <c r="L110" i="3"/>
  <c r="L104" i="3"/>
  <c r="I104" i="3"/>
  <c r="I106" i="3" s="1"/>
  <c r="E104" i="3"/>
  <c r="E106" i="3" s="1"/>
  <c r="L106" i="3" s="1"/>
  <c r="I103" i="3"/>
  <c r="I105" i="3" s="1"/>
  <c r="E103" i="3"/>
  <c r="L103" i="3" s="1"/>
  <c r="L102" i="3"/>
  <c r="L101" i="3"/>
  <c r="I93" i="3"/>
  <c r="I94" i="3" s="1"/>
  <c r="I95" i="3" s="1"/>
  <c r="I96" i="3" s="1"/>
  <c r="I97" i="3" s="1"/>
  <c r="L92" i="3"/>
  <c r="I92" i="3"/>
  <c r="E92" i="3"/>
  <c r="E93" i="3" s="1"/>
  <c r="L91" i="3"/>
  <c r="I83" i="3"/>
  <c r="I84" i="3" s="1"/>
  <c r="I85" i="3" s="1"/>
  <c r="I86" i="3" s="1"/>
  <c r="I87" i="3" s="1"/>
  <c r="L82" i="3"/>
  <c r="I82" i="3"/>
  <c r="E82" i="3"/>
  <c r="E83" i="3" s="1"/>
  <c r="L81" i="3"/>
  <c r="I77" i="3"/>
  <c r="I76" i="3"/>
  <c r="E76" i="3"/>
  <c r="E77" i="3" s="1"/>
  <c r="L77" i="3" s="1"/>
  <c r="N75" i="3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L75" i="3"/>
  <c r="T74" i="3"/>
  <c r="N74" i="3"/>
  <c r="L74" i="3"/>
  <c r="T73" i="3"/>
  <c r="N73" i="3"/>
  <c r="L73" i="3"/>
  <c r="T72" i="3"/>
  <c r="L69" i="3"/>
  <c r="D69" i="3"/>
  <c r="L68" i="3"/>
  <c r="D68" i="3"/>
  <c r="L67" i="3"/>
  <c r="D67" i="3"/>
  <c r="L66" i="3"/>
  <c r="D66" i="3"/>
  <c r="L65" i="3"/>
  <c r="L64" i="3"/>
  <c r="L63" i="3"/>
  <c r="D59" i="3"/>
  <c r="D58" i="3"/>
  <c r="L57" i="3"/>
  <c r="I57" i="3"/>
  <c r="I58" i="3" s="1"/>
  <c r="L56" i="3"/>
  <c r="L55" i="3"/>
  <c r="D51" i="3"/>
  <c r="D50" i="3"/>
  <c r="D49" i="3"/>
  <c r="D48" i="3"/>
  <c r="I47" i="3"/>
  <c r="L47" i="3" s="1"/>
  <c r="I46" i="3"/>
  <c r="L46" i="3" s="1"/>
  <c r="L45" i="3"/>
  <c r="K45" i="3"/>
  <c r="L41" i="3"/>
  <c r="L40" i="3"/>
  <c r="L39" i="3"/>
  <c r="L38" i="3"/>
  <c r="L37" i="3"/>
  <c r="L36" i="3"/>
  <c r="L33" i="3"/>
  <c r="L32" i="3"/>
  <c r="L31" i="3"/>
  <c r="L30" i="3"/>
  <c r="L29" i="3"/>
  <c r="Q28" i="3"/>
  <c r="L28" i="3"/>
  <c r="R24" i="3"/>
  <c r="Q24" i="3"/>
  <c r="L24" i="3"/>
  <c r="K24" i="3"/>
  <c r="R23" i="3"/>
  <c r="Q23" i="3"/>
  <c r="L23" i="3"/>
  <c r="K23" i="3"/>
  <c r="R22" i="3"/>
  <c r="Q22" i="3"/>
  <c r="L22" i="3"/>
  <c r="K22" i="3"/>
  <c r="Q21" i="3"/>
  <c r="L21" i="3"/>
  <c r="K21" i="3"/>
  <c r="Q20" i="3"/>
  <c r="L20" i="3"/>
  <c r="K20" i="3"/>
  <c r="N19" i="3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L19" i="3"/>
  <c r="K19" i="3"/>
  <c r="L18" i="3"/>
  <c r="E14" i="3"/>
  <c r="E13" i="3"/>
  <c r="E12" i="3"/>
  <c r="E11" i="3"/>
  <c r="E10" i="3"/>
  <c r="F150" i="7"/>
  <c r="F151" i="7" s="1"/>
  <c r="F149" i="7"/>
  <c r="J148" i="7"/>
  <c r="J149" i="7" s="1"/>
  <c r="J150" i="7" s="1"/>
  <c r="J151" i="7" s="1"/>
  <c r="J152" i="7" s="1"/>
  <c r="J153" i="7" s="1"/>
  <c r="J154" i="7" s="1"/>
  <c r="J155" i="7" s="1"/>
  <c r="J156" i="7" s="1"/>
  <c r="J157" i="7" s="1"/>
  <c r="F148" i="7"/>
  <c r="M148" i="7" s="1"/>
  <c r="M147" i="7"/>
  <c r="M136" i="7"/>
  <c r="F136" i="7"/>
  <c r="F137" i="7" s="1"/>
  <c r="M135" i="7"/>
  <c r="J125" i="7"/>
  <c r="J126" i="7" s="1"/>
  <c r="J127" i="7" s="1"/>
  <c r="J128" i="7" s="1"/>
  <c r="J129" i="7" s="1"/>
  <c r="J130" i="7" s="1"/>
  <c r="J131" i="7" s="1"/>
  <c r="J132" i="7" s="1"/>
  <c r="M124" i="7"/>
  <c r="J124" i="7"/>
  <c r="F124" i="7"/>
  <c r="F125" i="7" s="1"/>
  <c r="M123" i="7"/>
  <c r="J115" i="7"/>
  <c r="J116" i="7" s="1"/>
  <c r="J117" i="7" s="1"/>
  <c r="J118" i="7" s="1"/>
  <c r="J119" i="7" s="1"/>
  <c r="J120" i="7" s="1"/>
  <c r="F115" i="7"/>
  <c r="F116" i="7" s="1"/>
  <c r="M114" i="7"/>
  <c r="J103" i="7"/>
  <c r="J104" i="7" s="1"/>
  <c r="J105" i="7" s="1"/>
  <c r="J106" i="7" s="1"/>
  <c r="J107" i="7" s="1"/>
  <c r="J108" i="7" s="1"/>
  <c r="J109" i="7" s="1"/>
  <c r="J110" i="7" s="1"/>
  <c r="J102" i="7"/>
  <c r="M101" i="7"/>
  <c r="J101" i="7"/>
  <c r="F101" i="7"/>
  <c r="F102" i="7" s="1"/>
  <c r="M100" i="7"/>
  <c r="M95" i="7"/>
  <c r="M94" i="7"/>
  <c r="M93" i="7"/>
  <c r="M92" i="7"/>
  <c r="M91" i="7"/>
  <c r="M90" i="7"/>
  <c r="M89" i="7"/>
  <c r="O85" i="7"/>
  <c r="J77" i="7"/>
  <c r="J78" i="7" s="1"/>
  <c r="J79" i="7" s="1"/>
  <c r="J80" i="7" s="1"/>
  <c r="J81" i="7" s="1"/>
  <c r="J82" i="7" s="1"/>
  <c r="J83" i="7" s="1"/>
  <c r="J84" i="7" s="1"/>
  <c r="J85" i="7" s="1"/>
  <c r="F77" i="7"/>
  <c r="M77" i="7" s="1"/>
  <c r="M76" i="7"/>
  <c r="B76" i="7"/>
  <c r="B77" i="7" s="1"/>
  <c r="B78" i="7" s="1"/>
  <c r="B79" i="7" s="1"/>
  <c r="B80" i="7" s="1"/>
  <c r="B81" i="7" s="1"/>
  <c r="B82" i="7" s="1"/>
  <c r="B83" i="7" s="1"/>
  <c r="B84" i="7" s="1"/>
  <c r="B85" i="7" s="1"/>
  <c r="O75" i="7"/>
  <c r="M72" i="7"/>
  <c r="M71" i="7"/>
  <c r="M70" i="7"/>
  <c r="M69" i="7"/>
  <c r="M68" i="7"/>
  <c r="M67" i="7"/>
  <c r="M66" i="7"/>
  <c r="M65" i="7"/>
  <c r="B65" i="7"/>
  <c r="B66" i="7" s="1"/>
  <c r="B67" i="7" s="1"/>
  <c r="B68" i="7" s="1"/>
  <c r="B69" i="7" s="1"/>
  <c r="B70" i="7" s="1"/>
  <c r="B71" i="7" s="1"/>
  <c r="B72" i="7" s="1"/>
  <c r="O64" i="7"/>
  <c r="O76" i="7" s="1"/>
  <c r="M64" i="7"/>
  <c r="M54" i="7"/>
  <c r="J54" i="7"/>
  <c r="J55" i="7" s="1"/>
  <c r="J56" i="7" s="1"/>
  <c r="J57" i="7" s="1"/>
  <c r="J58" i="7" s="1"/>
  <c r="J59" i="7" s="1"/>
  <c r="J60" i="7" s="1"/>
  <c r="J61" i="7" s="1"/>
  <c r="F54" i="7"/>
  <c r="F55" i="7" s="1"/>
  <c r="M53" i="7"/>
  <c r="F43" i="7"/>
  <c r="F44" i="7" s="1"/>
  <c r="J42" i="7"/>
  <c r="J43" i="7" s="1"/>
  <c r="J44" i="7" s="1"/>
  <c r="J45" i="7" s="1"/>
  <c r="J46" i="7" s="1"/>
  <c r="J47" i="7" s="1"/>
  <c r="J48" i="7" s="1"/>
  <c r="J49" i="7" s="1"/>
  <c r="F42" i="7"/>
  <c r="M42" i="7" s="1"/>
  <c r="M41" i="7"/>
  <c r="J31" i="7"/>
  <c r="J32" i="7" s="1"/>
  <c r="J33" i="7" s="1"/>
  <c r="J34" i="7" s="1"/>
  <c r="J35" i="7" s="1"/>
  <c r="J36" i="7" s="1"/>
  <c r="J37" i="7" s="1"/>
  <c r="F31" i="7"/>
  <c r="F32" i="7" s="1"/>
  <c r="J30" i="7"/>
  <c r="M30" i="7" s="1"/>
  <c r="F30" i="7"/>
  <c r="M29" i="7"/>
  <c r="M28" i="7"/>
  <c r="O23" i="7"/>
  <c r="O24" i="7" s="1"/>
  <c r="O22" i="7"/>
  <c r="O21" i="7"/>
  <c r="O20" i="7"/>
  <c r="O19" i="7"/>
  <c r="O18" i="7"/>
  <c r="O17" i="7"/>
  <c r="O16" i="7"/>
  <c r="M16" i="7"/>
  <c r="J16" i="7"/>
  <c r="J17" i="7" s="1"/>
  <c r="J18" i="7" s="1"/>
  <c r="J19" i="7" s="1"/>
  <c r="J20" i="7" s="1"/>
  <c r="J21" i="7" s="1"/>
  <c r="J22" i="7" s="1"/>
  <c r="J23" i="7" s="1"/>
  <c r="J24" i="7" s="1"/>
  <c r="F16" i="7"/>
  <c r="F17" i="7" s="1"/>
  <c r="O15" i="7"/>
  <c r="M15" i="7"/>
  <c r="G3" i="1" s="1"/>
  <c r="O14" i="7"/>
  <c r="M11" i="7"/>
  <c r="M10" i="7"/>
  <c r="M9" i="7"/>
  <c r="M8" i="7"/>
  <c r="M7" i="7"/>
  <c r="M6" i="7"/>
  <c r="M5" i="7"/>
  <c r="M4" i="7"/>
  <c r="M3" i="7"/>
  <c r="B3" i="7"/>
  <c r="B4" i="7" s="1"/>
  <c r="B5" i="7" s="1"/>
  <c r="B6" i="7" s="1"/>
  <c r="B7" i="7" s="1"/>
  <c r="B8" i="7" s="1"/>
  <c r="B9" i="7" s="1"/>
  <c r="B10" i="7" s="1"/>
  <c r="B11" i="7" s="1"/>
  <c r="A3" i="7"/>
  <c r="A4" i="7" s="1"/>
  <c r="A5" i="7" s="1"/>
  <c r="A6" i="7" s="1"/>
  <c r="A7" i="7" s="1"/>
  <c r="A8" i="7" s="1"/>
  <c r="A9" i="7" s="1"/>
  <c r="A10" i="7" s="1"/>
  <c r="A11" i="7" s="1"/>
  <c r="M2" i="7"/>
  <c r="F62" i="2"/>
  <c r="F63" i="2" s="1"/>
  <c r="J61" i="2"/>
  <c r="J62" i="2" s="1"/>
  <c r="J63" i="2" s="1"/>
  <c r="F61" i="2"/>
  <c r="M61" i="2" s="1"/>
  <c r="M60" i="2"/>
  <c r="M55" i="2"/>
  <c r="M54" i="2"/>
  <c r="M53" i="2"/>
  <c r="M52" i="2"/>
  <c r="M51" i="2"/>
  <c r="M50" i="2"/>
  <c r="M49" i="2"/>
  <c r="M48" i="2"/>
  <c r="M47" i="2"/>
  <c r="M46" i="2"/>
  <c r="J40" i="2"/>
  <c r="F40" i="2"/>
  <c r="M40" i="2" s="1"/>
  <c r="M39" i="2"/>
  <c r="F35" i="2"/>
  <c r="F36" i="2" s="1"/>
  <c r="J34" i="2"/>
  <c r="J35" i="2" s="1"/>
  <c r="F34" i="2"/>
  <c r="M34" i="2" s="1"/>
  <c r="M33" i="2"/>
  <c r="F18" i="2"/>
  <c r="F19" i="2" s="1"/>
  <c r="J17" i="2"/>
  <c r="J18" i="2" s="1"/>
  <c r="F17" i="2"/>
  <c r="M16" i="2"/>
  <c r="M6" i="2"/>
  <c r="J6" i="2"/>
  <c r="J8" i="2" s="1"/>
  <c r="J9" i="2" s="1"/>
  <c r="F6" i="2"/>
  <c r="F8" i="2" s="1"/>
  <c r="M5" i="2"/>
  <c r="L77" i="17"/>
  <c r="L76" i="17"/>
  <c r="L75" i="17"/>
  <c r="L74" i="17"/>
  <c r="L73" i="17"/>
  <c r="L72" i="17"/>
  <c r="L71" i="17"/>
  <c r="L70" i="17"/>
  <c r="F70" i="17"/>
  <c r="F71" i="17" s="1"/>
  <c r="L69" i="17"/>
  <c r="J69" i="17"/>
  <c r="J70" i="17" s="1"/>
  <c r="J71" i="17" s="1"/>
  <c r="J72" i="17" s="1"/>
  <c r="J73" i="17" s="1"/>
  <c r="J74" i="17" s="1"/>
  <c r="J75" i="17" s="1"/>
  <c r="J76" i="17" s="1"/>
  <c r="J77" i="17" s="1"/>
  <c r="F69" i="17"/>
  <c r="M69" i="17" s="1"/>
  <c r="L68" i="17"/>
  <c r="M68" i="17" s="1"/>
  <c r="J49" i="17"/>
  <c r="J50" i="17" s="1"/>
  <c r="J51" i="17" s="1"/>
  <c r="J52" i="17" s="1"/>
  <c r="J53" i="17" s="1"/>
  <c r="J54" i="17" s="1"/>
  <c r="J55" i="17" s="1"/>
  <c r="J56" i="17" s="1"/>
  <c r="J57" i="17" s="1"/>
  <c r="J48" i="17"/>
  <c r="J47" i="17"/>
  <c r="F47" i="17"/>
  <c r="F48" i="17" s="1"/>
  <c r="M46" i="17"/>
  <c r="M38" i="17"/>
  <c r="M37" i="17"/>
  <c r="M36" i="17"/>
  <c r="M35" i="17"/>
  <c r="M34" i="17"/>
  <c r="M33" i="17"/>
  <c r="M32" i="17"/>
  <c r="M31" i="17"/>
  <c r="M30" i="17"/>
  <c r="M29" i="17"/>
  <c r="M28" i="17"/>
  <c r="P17" i="17"/>
  <c r="M17" i="17"/>
  <c r="P16" i="17"/>
  <c r="M16" i="17"/>
  <c r="P15" i="17"/>
  <c r="M15" i="17"/>
  <c r="P14" i="17"/>
  <c r="M14" i="17"/>
  <c r="P13" i="17"/>
  <c r="M13" i="17"/>
  <c r="P12" i="17"/>
  <c r="M12" i="17"/>
  <c r="P11" i="17"/>
  <c r="M11" i="17"/>
  <c r="P10" i="17"/>
  <c r="M10" i="17"/>
  <c r="P9" i="17"/>
  <c r="M9" i="17"/>
  <c r="P8" i="17"/>
  <c r="M8" i="17"/>
  <c r="P7" i="17"/>
  <c r="M7" i="17"/>
  <c r="P70" i="16"/>
  <c r="K70" i="16"/>
  <c r="O70" i="16" s="1"/>
  <c r="J70" i="16"/>
  <c r="P69" i="16"/>
  <c r="P68" i="16"/>
  <c r="O68" i="16"/>
  <c r="K68" i="16"/>
  <c r="J68" i="16"/>
  <c r="P67" i="16"/>
  <c r="K67" i="16"/>
  <c r="J67" i="16"/>
  <c r="O67" i="16" s="1"/>
  <c r="P66" i="16"/>
  <c r="O66" i="16"/>
  <c r="K66" i="16"/>
  <c r="J66" i="16"/>
  <c r="P65" i="16"/>
  <c r="K65" i="16"/>
  <c r="O65" i="16" s="1"/>
  <c r="J65" i="16"/>
  <c r="P64" i="16"/>
  <c r="P63" i="16"/>
  <c r="O63" i="16"/>
  <c r="K63" i="16"/>
  <c r="J63" i="16"/>
  <c r="P62" i="16"/>
  <c r="K62" i="16"/>
  <c r="J62" i="16"/>
  <c r="O62" i="16" s="1"/>
  <c r="P61" i="16"/>
  <c r="Q60" i="16"/>
  <c r="P60" i="16"/>
  <c r="K52" i="16"/>
  <c r="J52" i="16"/>
  <c r="G52" i="16"/>
  <c r="O52" i="16" s="1"/>
  <c r="K51" i="16"/>
  <c r="O51" i="16" s="1"/>
  <c r="J51" i="16"/>
  <c r="K49" i="16"/>
  <c r="J49" i="16"/>
  <c r="O49" i="16" s="1"/>
  <c r="K48" i="16"/>
  <c r="J48" i="16"/>
  <c r="O48" i="16" s="1"/>
  <c r="K47" i="16"/>
  <c r="O47" i="16" s="1"/>
  <c r="J47" i="16"/>
  <c r="O46" i="16"/>
  <c r="K46" i="16"/>
  <c r="J46" i="16"/>
  <c r="K44" i="16"/>
  <c r="J44" i="16"/>
  <c r="O44" i="16" s="1"/>
  <c r="O43" i="16"/>
  <c r="K43" i="16"/>
  <c r="J43" i="16"/>
  <c r="Q42" i="16"/>
  <c r="Q61" i="16" s="1"/>
  <c r="Q31" i="16"/>
  <c r="P31" i="16"/>
  <c r="Q30" i="16"/>
  <c r="P30" i="16"/>
  <c r="O30" i="16"/>
  <c r="P29" i="16"/>
  <c r="P28" i="16"/>
  <c r="P27" i="16"/>
  <c r="P26" i="16"/>
  <c r="P25" i="16"/>
  <c r="P24" i="16"/>
  <c r="P23" i="16"/>
  <c r="P22" i="16"/>
  <c r="L22" i="16"/>
  <c r="L23" i="16" s="1"/>
  <c r="P21" i="16"/>
  <c r="L21" i="16"/>
  <c r="O21" i="16" s="1"/>
  <c r="Q20" i="16"/>
  <c r="P20" i="16"/>
  <c r="O20" i="16"/>
  <c r="Q6" i="16"/>
  <c r="Q21" i="16" s="1"/>
  <c r="L6" i="16"/>
  <c r="O6" i="16" s="1"/>
  <c r="O5" i="16"/>
  <c r="M115" i="15"/>
  <c r="N115" i="15" s="1"/>
  <c r="O115" i="15" s="1"/>
  <c r="M114" i="15"/>
  <c r="N114" i="15" s="1"/>
  <c r="O114" i="15" s="1"/>
  <c r="N113" i="15"/>
  <c r="O113" i="15" s="1"/>
  <c r="M113" i="15"/>
  <c r="N111" i="15"/>
  <c r="O111" i="15" s="1"/>
  <c r="M111" i="15"/>
  <c r="M110" i="15"/>
  <c r="N110" i="15" s="1"/>
  <c r="O110" i="15" s="1"/>
  <c r="M109" i="15"/>
  <c r="N109" i="15" s="1"/>
  <c r="O109" i="15" s="1"/>
  <c r="O108" i="15"/>
  <c r="N108" i="15"/>
  <c r="M108" i="15"/>
  <c r="M107" i="15"/>
  <c r="N107" i="15" s="1"/>
  <c r="O107" i="15" s="1"/>
  <c r="M96" i="15"/>
  <c r="N96" i="15" s="1"/>
  <c r="J95" i="15"/>
  <c r="I95" i="15"/>
  <c r="F95" i="15"/>
  <c r="N95" i="15" s="1"/>
  <c r="N94" i="15"/>
  <c r="J94" i="15"/>
  <c r="I94" i="15"/>
  <c r="F94" i="15"/>
  <c r="J93" i="15"/>
  <c r="N93" i="15" s="1"/>
  <c r="I93" i="15"/>
  <c r="F93" i="15"/>
  <c r="O92" i="15"/>
  <c r="O93" i="15" s="1"/>
  <c r="O94" i="15" s="1"/>
  <c r="O95" i="15" s="1"/>
  <c r="O96" i="15" s="1"/>
  <c r="J92" i="15"/>
  <c r="I92" i="15"/>
  <c r="F92" i="15"/>
  <c r="N92" i="15" s="1"/>
  <c r="N91" i="15"/>
  <c r="J91" i="15"/>
  <c r="I91" i="15"/>
  <c r="F91" i="15"/>
  <c r="N82" i="15"/>
  <c r="N81" i="15"/>
  <c r="N80" i="15"/>
  <c r="N78" i="15"/>
  <c r="N77" i="15"/>
  <c r="N76" i="15"/>
  <c r="N75" i="15"/>
  <c r="N74" i="15"/>
  <c r="J74" i="15"/>
  <c r="I74" i="15"/>
  <c r="F74" i="15"/>
  <c r="O72" i="15"/>
  <c r="O74" i="15" s="1"/>
  <c r="O75" i="15" s="1"/>
  <c r="O76" i="15" s="1"/>
  <c r="O77" i="15" s="1"/>
  <c r="O78" i="15" s="1"/>
  <c r="O80" i="15" s="1"/>
  <c r="O81" i="15" s="1"/>
  <c r="O82" i="15" s="1"/>
  <c r="N72" i="15"/>
  <c r="J72" i="15"/>
  <c r="I72" i="15"/>
  <c r="F72" i="15"/>
  <c r="J71" i="15"/>
  <c r="I71" i="15"/>
  <c r="F71" i="15"/>
  <c r="N71" i="15" s="1"/>
  <c r="N58" i="15"/>
  <c r="N57" i="15"/>
  <c r="N56" i="15"/>
  <c r="N55" i="15"/>
  <c r="N54" i="15"/>
  <c r="N53" i="15"/>
  <c r="N52" i="15"/>
  <c r="N51" i="15"/>
  <c r="N41" i="15"/>
  <c r="N40" i="15"/>
  <c r="N39" i="15"/>
  <c r="N38" i="15"/>
  <c r="N37" i="15"/>
  <c r="N36" i="15"/>
  <c r="N35" i="15"/>
  <c r="N25" i="15"/>
  <c r="N24" i="15"/>
  <c r="N23" i="15"/>
  <c r="N22" i="15"/>
  <c r="N21" i="15"/>
  <c r="N20" i="15"/>
  <c r="N19" i="15"/>
  <c r="N18" i="15"/>
  <c r="N17" i="15"/>
  <c r="N16" i="15"/>
  <c r="N15" i="15"/>
  <c r="M15" i="15"/>
  <c r="M14" i="15"/>
  <c r="N14" i="15" s="1"/>
  <c r="N13" i="15"/>
  <c r="N12" i="15"/>
  <c r="M12" i="15"/>
  <c r="M11" i="15"/>
  <c r="N11" i="15" s="1"/>
  <c r="M10" i="15"/>
  <c r="N10" i="15" s="1"/>
  <c r="O9" i="15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M9" i="15"/>
  <c r="N9" i="15" s="1"/>
  <c r="M8" i="15"/>
  <c r="N8" i="15" s="1"/>
  <c r="O48" i="14"/>
  <c r="M48" i="14"/>
  <c r="L48" i="14"/>
  <c r="K48" i="14"/>
  <c r="J48" i="14"/>
  <c r="R48" i="14" s="1"/>
  <c r="O47" i="14"/>
  <c r="M47" i="14"/>
  <c r="L47" i="14"/>
  <c r="K47" i="14"/>
  <c r="J47" i="14"/>
  <c r="R47" i="14" s="1"/>
  <c r="O46" i="14"/>
  <c r="M46" i="14"/>
  <c r="L46" i="14"/>
  <c r="K46" i="14"/>
  <c r="J46" i="14"/>
  <c r="R46" i="14" s="1"/>
  <c r="O45" i="14"/>
  <c r="M45" i="14"/>
  <c r="L45" i="14"/>
  <c r="K45" i="14"/>
  <c r="J45" i="14"/>
  <c r="R45" i="14" s="1"/>
  <c r="O44" i="14"/>
  <c r="M44" i="14"/>
  <c r="L44" i="14"/>
  <c r="K44" i="14"/>
  <c r="J44" i="14"/>
  <c r="R44" i="14" s="1"/>
  <c r="O43" i="14"/>
  <c r="M43" i="14"/>
  <c r="L43" i="14"/>
  <c r="K43" i="14"/>
  <c r="J43" i="14"/>
  <c r="R43" i="14" s="1"/>
  <c r="O42" i="14"/>
  <c r="M42" i="14"/>
  <c r="L42" i="14"/>
  <c r="K42" i="14"/>
  <c r="J42" i="14"/>
  <c r="R42" i="14" s="1"/>
  <c r="O41" i="14"/>
  <c r="M41" i="14"/>
  <c r="L41" i="14"/>
  <c r="K41" i="14"/>
  <c r="J41" i="14"/>
  <c r="R41" i="14" s="1"/>
  <c r="O40" i="14"/>
  <c r="M40" i="14"/>
  <c r="L40" i="14"/>
  <c r="K40" i="14"/>
  <c r="J40" i="14"/>
  <c r="R40" i="14" s="1"/>
  <c r="O39" i="14"/>
  <c r="M39" i="14"/>
  <c r="L39" i="14"/>
  <c r="K39" i="14"/>
  <c r="J39" i="14"/>
  <c r="R39" i="14" s="1"/>
  <c r="O38" i="14"/>
  <c r="M38" i="14"/>
  <c r="L38" i="14"/>
  <c r="K38" i="14"/>
  <c r="J38" i="14"/>
  <c r="R38" i="14" s="1"/>
  <c r="O34" i="14"/>
  <c r="M34" i="14"/>
  <c r="L34" i="14"/>
  <c r="K34" i="14"/>
  <c r="J34" i="14"/>
  <c r="R34" i="14" s="1"/>
  <c r="O33" i="14"/>
  <c r="M33" i="14"/>
  <c r="L33" i="14"/>
  <c r="K33" i="14"/>
  <c r="J33" i="14"/>
  <c r="R33" i="14" s="1"/>
  <c r="O32" i="14"/>
  <c r="M32" i="14"/>
  <c r="L32" i="14"/>
  <c r="K32" i="14"/>
  <c r="J32" i="14"/>
  <c r="R32" i="14" s="1"/>
  <c r="O31" i="14"/>
  <c r="M31" i="14"/>
  <c r="L31" i="14"/>
  <c r="K31" i="14"/>
  <c r="J31" i="14"/>
  <c r="R31" i="14" s="1"/>
  <c r="O30" i="14"/>
  <c r="M30" i="14"/>
  <c r="L30" i="14"/>
  <c r="K30" i="14"/>
  <c r="J30" i="14"/>
  <c r="R30" i="14" s="1"/>
  <c r="O29" i="14"/>
  <c r="M29" i="14"/>
  <c r="L29" i="14"/>
  <c r="K29" i="14"/>
  <c r="J29" i="14"/>
  <c r="R29" i="14" s="1"/>
  <c r="O28" i="14"/>
  <c r="M28" i="14"/>
  <c r="L28" i="14"/>
  <c r="K28" i="14"/>
  <c r="J28" i="14"/>
  <c r="R28" i="14" s="1"/>
  <c r="O27" i="14"/>
  <c r="M27" i="14"/>
  <c r="L27" i="14"/>
  <c r="K27" i="14"/>
  <c r="J27" i="14"/>
  <c r="R27" i="14" s="1"/>
  <c r="O26" i="14"/>
  <c r="M26" i="14"/>
  <c r="L26" i="14"/>
  <c r="K26" i="14"/>
  <c r="J26" i="14"/>
  <c r="R26" i="14" s="1"/>
  <c r="O25" i="14"/>
  <c r="M25" i="14"/>
  <c r="L25" i="14"/>
  <c r="K25" i="14"/>
  <c r="J25" i="14"/>
  <c r="R25" i="14" s="1"/>
  <c r="O24" i="14"/>
  <c r="M24" i="14"/>
  <c r="L24" i="14"/>
  <c r="K24" i="14"/>
  <c r="J24" i="14"/>
  <c r="R24" i="14" s="1"/>
  <c r="O23" i="14"/>
  <c r="M23" i="14"/>
  <c r="L23" i="14"/>
  <c r="K23" i="14"/>
  <c r="J23" i="14"/>
  <c r="R23" i="14" s="1"/>
  <c r="O22" i="14"/>
  <c r="L22" i="14"/>
  <c r="K22" i="14"/>
  <c r="J22" i="14"/>
  <c r="R22" i="14" s="1"/>
  <c r="R21" i="14"/>
  <c r="O21" i="14"/>
  <c r="L21" i="14"/>
  <c r="K21" i="14"/>
  <c r="J21" i="14"/>
  <c r="O17" i="14"/>
  <c r="M17" i="14"/>
  <c r="L17" i="14"/>
  <c r="K17" i="14"/>
  <c r="J17" i="14"/>
  <c r="R17" i="14" s="1"/>
  <c r="O16" i="14"/>
  <c r="M16" i="14"/>
  <c r="L16" i="14"/>
  <c r="K16" i="14"/>
  <c r="J16" i="14"/>
  <c r="R16" i="14" s="1"/>
  <c r="O15" i="14"/>
  <c r="M15" i="14"/>
  <c r="L15" i="14"/>
  <c r="K15" i="14"/>
  <c r="J15" i="14"/>
  <c r="R15" i="14" s="1"/>
  <c r="O14" i="14"/>
  <c r="M14" i="14"/>
  <c r="L14" i="14"/>
  <c r="K14" i="14"/>
  <c r="J14" i="14"/>
  <c r="R14" i="14" s="1"/>
  <c r="O13" i="14"/>
  <c r="M13" i="14"/>
  <c r="L13" i="14"/>
  <c r="K13" i="14"/>
  <c r="J13" i="14"/>
  <c r="R13" i="14" s="1"/>
  <c r="O12" i="14"/>
  <c r="M12" i="14"/>
  <c r="L12" i="14"/>
  <c r="K12" i="14"/>
  <c r="J12" i="14"/>
  <c r="R12" i="14" s="1"/>
  <c r="O11" i="14"/>
  <c r="M11" i="14"/>
  <c r="L11" i="14"/>
  <c r="K11" i="14"/>
  <c r="J11" i="14"/>
  <c r="R11" i="14" s="1"/>
  <c r="O10" i="14"/>
  <c r="M10" i="14"/>
  <c r="L10" i="14"/>
  <c r="K10" i="14"/>
  <c r="J10" i="14"/>
  <c r="R10" i="14" s="1"/>
  <c r="O9" i="14"/>
  <c r="M9" i="14"/>
  <c r="L9" i="14"/>
  <c r="K9" i="14"/>
  <c r="J9" i="14"/>
  <c r="R9" i="14" s="1"/>
  <c r="O8" i="14"/>
  <c r="M8" i="14"/>
  <c r="L8" i="14"/>
  <c r="K8" i="14"/>
  <c r="J8" i="14"/>
  <c r="R8" i="14" s="1"/>
  <c r="O7" i="14"/>
  <c r="M7" i="14"/>
  <c r="L7" i="14"/>
  <c r="K7" i="14"/>
  <c r="J7" i="14"/>
  <c r="R7" i="14" s="1"/>
  <c r="O6" i="14"/>
  <c r="M6" i="14"/>
  <c r="L6" i="14"/>
  <c r="K6" i="14"/>
  <c r="J6" i="14"/>
  <c r="R6" i="14" s="1"/>
  <c r="O5" i="14"/>
  <c r="L5" i="14"/>
  <c r="K5" i="14"/>
  <c r="J5" i="14"/>
  <c r="R5" i="14" s="1"/>
  <c r="R4" i="14"/>
  <c r="O4" i="14"/>
  <c r="L4" i="14"/>
  <c r="K4" i="14"/>
  <c r="J4" i="14"/>
  <c r="Q40" i="13"/>
  <c r="S40" i="13" s="1"/>
  <c r="P40" i="13"/>
  <c r="O40" i="13"/>
  <c r="M40" i="13"/>
  <c r="P39" i="13"/>
  <c r="O39" i="13"/>
  <c r="Q39" i="13" s="1"/>
  <c r="S39" i="13" s="1"/>
  <c r="M39" i="13"/>
  <c r="P38" i="13"/>
  <c r="O38" i="13"/>
  <c r="Q38" i="13" s="1"/>
  <c r="M38" i="13"/>
  <c r="P37" i="13"/>
  <c r="Q37" i="13" s="1"/>
  <c r="O37" i="13"/>
  <c r="M37" i="13"/>
  <c r="S37" i="13" s="1"/>
  <c r="Q36" i="13"/>
  <c r="P36" i="13"/>
  <c r="O36" i="13"/>
  <c r="M36" i="13"/>
  <c r="S36" i="13" s="1"/>
  <c r="Q35" i="13"/>
  <c r="P35" i="13"/>
  <c r="O35" i="13"/>
  <c r="M35" i="13"/>
  <c r="S35" i="13" s="1"/>
  <c r="P34" i="13"/>
  <c r="O34" i="13"/>
  <c r="Q34" i="13" s="1"/>
  <c r="M34" i="13"/>
  <c r="S34" i="13" s="1"/>
  <c r="O28" i="13"/>
  <c r="N28" i="13"/>
  <c r="P28" i="13" s="1"/>
  <c r="O27" i="13"/>
  <c r="N27" i="13"/>
  <c r="P27" i="13" s="1"/>
  <c r="P26" i="13"/>
  <c r="O26" i="13"/>
  <c r="N26" i="13"/>
  <c r="P25" i="13"/>
  <c r="O25" i="13"/>
  <c r="N25" i="13"/>
  <c r="O24" i="13"/>
  <c r="P24" i="13" s="1"/>
  <c r="N24" i="13"/>
  <c r="O23" i="13"/>
  <c r="N23" i="13"/>
  <c r="P23" i="13" s="1"/>
  <c r="O22" i="13"/>
  <c r="N22" i="13"/>
  <c r="P22" i="13" s="1"/>
  <c r="P21" i="13"/>
  <c r="O21" i="13"/>
  <c r="N21" i="13"/>
  <c r="O20" i="13"/>
  <c r="N20" i="13"/>
  <c r="P20" i="13" s="1"/>
  <c r="E20" i="13"/>
  <c r="E21" i="13" s="1"/>
  <c r="O19" i="13"/>
  <c r="N19" i="13"/>
  <c r="P19" i="13" s="1"/>
  <c r="E19" i="13"/>
  <c r="L19" i="13" s="1"/>
  <c r="P18" i="13"/>
  <c r="O18" i="13"/>
  <c r="N18" i="13"/>
  <c r="L18" i="13"/>
  <c r="R18" i="13" s="1"/>
  <c r="I18" i="13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E18" i="13"/>
  <c r="P17" i="13"/>
  <c r="R17" i="13" s="1"/>
  <c r="O17" i="13"/>
  <c r="N17" i="13"/>
  <c r="L17" i="13"/>
  <c r="C13" i="13"/>
  <c r="C12" i="13"/>
  <c r="C11" i="13"/>
  <c r="C10" i="13"/>
  <c r="C9" i="13"/>
  <c r="C8" i="13"/>
  <c r="C7" i="13"/>
  <c r="C6" i="13"/>
  <c r="C5" i="13"/>
  <c r="C4" i="13"/>
  <c r="C3" i="13"/>
  <c r="L380" i="9"/>
  <c r="F380" i="9"/>
  <c r="G380" i="9" s="1"/>
  <c r="G367" i="1" s="1"/>
  <c r="L379" i="9"/>
  <c r="F379" i="9"/>
  <c r="G379" i="9" s="1"/>
  <c r="L378" i="9"/>
  <c r="F378" i="9"/>
  <c r="G378" i="9" s="1"/>
  <c r="G365" i="1" s="1"/>
  <c r="L377" i="9"/>
  <c r="F377" i="9"/>
  <c r="G377" i="9" s="1"/>
  <c r="G364" i="1" s="1"/>
  <c r="L376" i="9"/>
  <c r="F376" i="9"/>
  <c r="L375" i="9"/>
  <c r="F375" i="9"/>
  <c r="G375" i="9" s="1"/>
  <c r="G362" i="1" s="1"/>
  <c r="L374" i="9"/>
  <c r="F374" i="9"/>
  <c r="G374" i="9" s="1"/>
  <c r="G361" i="1" s="1"/>
  <c r="L373" i="9"/>
  <c r="F373" i="9"/>
  <c r="G373" i="9" s="1"/>
  <c r="L372" i="9"/>
  <c r="F372" i="9"/>
  <c r="G372" i="9" s="1"/>
  <c r="G359" i="1" s="1"/>
  <c r="L371" i="9"/>
  <c r="F371" i="9"/>
  <c r="G371" i="9" s="1"/>
  <c r="G358" i="1" s="1"/>
  <c r="L370" i="9"/>
  <c r="F370" i="9"/>
  <c r="G370" i="9" s="1"/>
  <c r="G357" i="1" s="1"/>
  <c r="L369" i="9"/>
  <c r="F369" i="9"/>
  <c r="G369" i="9" s="1"/>
  <c r="G356" i="1" s="1"/>
  <c r="L368" i="9"/>
  <c r="F368" i="9"/>
  <c r="L367" i="9"/>
  <c r="F367" i="9"/>
  <c r="L365" i="9"/>
  <c r="F365" i="9"/>
  <c r="G365" i="9" s="1"/>
  <c r="G351" i="1" s="1"/>
  <c r="L364" i="9"/>
  <c r="F364" i="9"/>
  <c r="G364" i="9" s="1"/>
  <c r="G350" i="1" s="1"/>
  <c r="L363" i="9"/>
  <c r="F363" i="9"/>
  <c r="G363" i="9" s="1"/>
  <c r="G349" i="1" s="1"/>
  <c r="L362" i="9"/>
  <c r="F362" i="9"/>
  <c r="G362" i="9" s="1"/>
  <c r="G348" i="1" s="1"/>
  <c r="L361" i="9"/>
  <c r="F361" i="9"/>
  <c r="G361" i="9" s="1"/>
  <c r="G347" i="1" s="1"/>
  <c r="L360" i="9"/>
  <c r="F360" i="9"/>
  <c r="G360" i="9" s="1"/>
  <c r="L359" i="9"/>
  <c r="F359" i="9"/>
  <c r="G359" i="9" s="1"/>
  <c r="G345" i="1" s="1"/>
  <c r="L358" i="9"/>
  <c r="F358" i="9"/>
  <c r="G358" i="9" s="1"/>
  <c r="G344" i="1" s="1"/>
  <c r="L357" i="9"/>
  <c r="F357" i="9"/>
  <c r="G357" i="9" s="1"/>
  <c r="L356" i="9"/>
  <c r="F356" i="9"/>
  <c r="G356" i="9" s="1"/>
  <c r="G342" i="1" s="1"/>
  <c r="L355" i="9"/>
  <c r="F355" i="9"/>
  <c r="G355" i="9" s="1"/>
  <c r="G341" i="1" s="1"/>
  <c r="L354" i="9"/>
  <c r="F354" i="9"/>
  <c r="G354" i="9" s="1"/>
  <c r="G340" i="1" s="1"/>
  <c r="L353" i="9"/>
  <c r="F353" i="9"/>
  <c r="G353" i="9" s="1"/>
  <c r="G339" i="1" s="1"/>
  <c r="L352" i="9"/>
  <c r="F352" i="9"/>
  <c r="G352" i="9" s="1"/>
  <c r="G338" i="1" s="1"/>
  <c r="F349" i="9"/>
  <c r="J348" i="9"/>
  <c r="J349" i="9" s="1"/>
  <c r="F348" i="9"/>
  <c r="F347" i="9"/>
  <c r="N331" i="9"/>
  <c r="F330" i="9"/>
  <c r="G330" i="9" s="1"/>
  <c r="G580" i="1" s="1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7" i="9"/>
  <c r="L286" i="9"/>
  <c r="L285" i="9"/>
  <c r="L284" i="9"/>
  <c r="L283" i="9"/>
  <c r="L282" i="9"/>
  <c r="N265" i="9"/>
  <c r="F265" i="9"/>
  <c r="G265" i="9" s="1"/>
  <c r="G515" i="1" s="1"/>
  <c r="N244" i="9"/>
  <c r="N245" i="9" s="1"/>
  <c r="F244" i="9"/>
  <c r="G244" i="9" s="1"/>
  <c r="G501" i="1" s="1"/>
  <c r="F243" i="9"/>
  <c r="G243" i="9" s="1"/>
  <c r="G500" i="1" s="1"/>
  <c r="N222" i="9"/>
  <c r="F221" i="9"/>
  <c r="G221" i="9" s="1"/>
  <c r="G478" i="1" s="1"/>
  <c r="N214" i="9"/>
  <c r="F213" i="9"/>
  <c r="G213" i="9" s="1"/>
  <c r="N195" i="9"/>
  <c r="N194" i="9"/>
  <c r="F194" i="9"/>
  <c r="G194" i="9" s="1"/>
  <c r="N193" i="9"/>
  <c r="F193" i="9" s="1"/>
  <c r="G193" i="9" s="1"/>
  <c r="G450" i="1" s="1"/>
  <c r="N192" i="9"/>
  <c r="F192" i="9"/>
  <c r="G192" i="9" s="1"/>
  <c r="N191" i="9"/>
  <c r="F191" i="9" s="1"/>
  <c r="G191" i="9"/>
  <c r="G448" i="1" s="1"/>
  <c r="N190" i="9"/>
  <c r="F190" i="9"/>
  <c r="G190" i="9" s="1"/>
  <c r="G447" i="1" s="1"/>
  <c r="N189" i="9"/>
  <c r="F189" i="9" s="1"/>
  <c r="G189" i="9"/>
  <c r="G446" i="1" s="1"/>
  <c r="N188" i="9"/>
  <c r="F188" i="9"/>
  <c r="G188" i="9" s="1"/>
  <c r="G445" i="1" s="1"/>
  <c r="N187" i="9"/>
  <c r="F187" i="9" s="1"/>
  <c r="G187" i="9"/>
  <c r="G444" i="1" s="1"/>
  <c r="N186" i="9"/>
  <c r="F186" i="9"/>
  <c r="G186" i="9" s="1"/>
  <c r="N185" i="9"/>
  <c r="F185" i="9" s="1"/>
  <c r="G185" i="9" s="1"/>
  <c r="G442" i="1" s="1"/>
  <c r="N184" i="9"/>
  <c r="F184" i="9"/>
  <c r="G184" i="9" s="1"/>
  <c r="G441" i="1" s="1"/>
  <c r="N183" i="9"/>
  <c r="F183" i="9" s="1"/>
  <c r="G183" i="9" s="1"/>
  <c r="G440" i="1" s="1"/>
  <c r="N182" i="9"/>
  <c r="F182" i="9"/>
  <c r="G182" i="9" s="1"/>
  <c r="G439" i="1" s="1"/>
  <c r="N156" i="9"/>
  <c r="F155" i="9"/>
  <c r="G155" i="9" s="1"/>
  <c r="G412" i="1" s="1"/>
  <c r="M135" i="9"/>
  <c r="M134" i="9"/>
  <c r="M132" i="9"/>
  <c r="M130" i="9"/>
  <c r="M129" i="9"/>
  <c r="M128" i="9"/>
  <c r="N126" i="9"/>
  <c r="M126" i="9"/>
  <c r="M125" i="9"/>
  <c r="F125" i="9"/>
  <c r="G125" i="9" s="1"/>
  <c r="G382" i="1" s="1"/>
  <c r="N97" i="9"/>
  <c r="N98" i="9" s="1"/>
  <c r="F98" i="9" s="1"/>
  <c r="G98" i="9" s="1"/>
  <c r="F97" i="9"/>
  <c r="G97" i="9" s="1"/>
  <c r="G309" i="1" s="1"/>
  <c r="F96" i="9"/>
  <c r="G96" i="9" s="1"/>
  <c r="G308" i="1" s="1"/>
  <c r="F94" i="9"/>
  <c r="G94" i="9" s="1"/>
  <c r="F93" i="9"/>
  <c r="G93" i="9" s="1"/>
  <c r="F92" i="9"/>
  <c r="G92" i="9" s="1"/>
  <c r="F91" i="9"/>
  <c r="G91" i="9" s="1"/>
  <c r="F90" i="9"/>
  <c r="G90" i="9" s="1"/>
  <c r="K89" i="9"/>
  <c r="K90" i="9" s="1"/>
  <c r="K91" i="9" s="1"/>
  <c r="K92" i="9" s="1"/>
  <c r="K93" i="9" s="1"/>
  <c r="K94" i="9" s="1"/>
  <c r="F89" i="9"/>
  <c r="G89" i="9" s="1"/>
  <c r="G88" i="9"/>
  <c r="F86" i="9"/>
  <c r="G86" i="9" s="1"/>
  <c r="F85" i="9"/>
  <c r="G85" i="9" s="1"/>
  <c r="F84" i="9"/>
  <c r="G84" i="9" s="1"/>
  <c r="F83" i="9"/>
  <c r="G83" i="9" s="1"/>
  <c r="G81" i="9"/>
  <c r="K65" i="9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83" i="9" s="1"/>
  <c r="K84" i="9" s="1"/>
  <c r="K85" i="9" s="1"/>
  <c r="K86" i="9" s="1"/>
  <c r="F60" i="9"/>
  <c r="G60" i="9" s="1"/>
  <c r="K52" i="9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39" i="9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G36" i="9"/>
  <c r="G35" i="9"/>
  <c r="G34" i="9"/>
  <c r="G33" i="9"/>
  <c r="G32" i="9"/>
  <c r="G31" i="9"/>
  <c r="G29" i="9"/>
  <c r="G28" i="9"/>
  <c r="G27" i="9"/>
  <c r="G26" i="9"/>
  <c r="N25" i="9"/>
  <c r="N26" i="9" s="1"/>
  <c r="G25" i="9"/>
  <c r="G24" i="9"/>
  <c r="F24" i="9"/>
  <c r="G234" i="1" s="1"/>
  <c r="G22" i="9"/>
  <c r="G21" i="9"/>
  <c r="G20" i="9"/>
  <c r="G19" i="9"/>
  <c r="G18" i="9"/>
  <c r="N17" i="9"/>
  <c r="N18" i="9" s="1"/>
  <c r="F18" i="9" s="1"/>
  <c r="G228" i="1" s="1"/>
  <c r="G17" i="9"/>
  <c r="F17" i="9"/>
  <c r="G227" i="1" s="1"/>
  <c r="G15" i="9"/>
  <c r="G14" i="9"/>
  <c r="G13" i="9"/>
  <c r="G12" i="9"/>
  <c r="N11" i="9"/>
  <c r="F11" i="9" s="1"/>
  <c r="G221" i="1" s="1"/>
  <c r="G11" i="9"/>
  <c r="G10" i="9"/>
  <c r="F10" i="9"/>
  <c r="G220" i="1" s="1"/>
  <c r="G8" i="9"/>
  <c r="G7" i="9"/>
  <c r="G6" i="9"/>
  <c r="G5" i="9"/>
  <c r="N4" i="9"/>
  <c r="F4" i="9" s="1"/>
  <c r="G214" i="1" s="1"/>
  <c r="K4" i="9"/>
  <c r="K5" i="9" s="1"/>
  <c r="K6" i="9" s="1"/>
  <c r="K7" i="9" s="1"/>
  <c r="K8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24" i="9" s="1"/>
  <c r="K25" i="9" s="1"/>
  <c r="K26" i="9" s="1"/>
  <c r="K27" i="9" s="1"/>
  <c r="K28" i="9" s="1"/>
  <c r="K29" i="9" s="1"/>
  <c r="K31" i="9" s="1"/>
  <c r="K32" i="9" s="1"/>
  <c r="K33" i="9" s="1"/>
  <c r="K34" i="9" s="1"/>
  <c r="K35" i="9" s="1"/>
  <c r="K36" i="9" s="1"/>
  <c r="G4" i="9"/>
  <c r="G3" i="9"/>
  <c r="F3" i="9"/>
  <c r="G213" i="1" s="1"/>
  <c r="H347" i="12"/>
  <c r="G346" i="12"/>
  <c r="G345" i="12"/>
  <c r="H323" i="12"/>
  <c r="H316" i="12"/>
  <c r="G310" i="12"/>
  <c r="H301" i="12"/>
  <c r="H297" i="12"/>
  <c r="H293" i="12"/>
  <c r="H286" i="12"/>
  <c r="H276" i="12"/>
  <c r="H257" i="12"/>
  <c r="G243" i="11"/>
  <c r="G239" i="11"/>
  <c r="G224" i="11"/>
  <c r="G223" i="11"/>
  <c r="G220" i="11"/>
  <c r="G219" i="11"/>
  <c r="G218" i="11"/>
  <c r="G155" i="11"/>
  <c r="G92" i="11"/>
  <c r="G91" i="11"/>
  <c r="G90" i="11"/>
  <c r="G89" i="11"/>
  <c r="G88" i="11"/>
  <c r="G87" i="11"/>
  <c r="G86" i="11"/>
  <c r="G85" i="11"/>
  <c r="G84" i="11"/>
  <c r="G82" i="11"/>
  <c r="G81" i="11"/>
  <c r="G80" i="11"/>
  <c r="G79" i="11"/>
  <c r="G78" i="11"/>
  <c r="G77" i="11"/>
  <c r="G73" i="11"/>
  <c r="G72" i="11"/>
  <c r="G71" i="11"/>
  <c r="G70" i="11"/>
  <c r="G69" i="11"/>
  <c r="G68" i="11"/>
  <c r="G67" i="11"/>
  <c r="J1495" i="1"/>
  <c r="J1494" i="1"/>
  <c r="J1493" i="1"/>
  <c r="J1492" i="1"/>
  <c r="J1491" i="1"/>
  <c r="J1472" i="1"/>
  <c r="J1471" i="1"/>
  <c r="J1431" i="1"/>
  <c r="J1430" i="1"/>
  <c r="J1438" i="1"/>
  <c r="J1437" i="1"/>
  <c r="J1436" i="1"/>
  <c r="J1435" i="1"/>
  <c r="J1412" i="1"/>
  <c r="J1410" i="1"/>
  <c r="J1409" i="1"/>
  <c r="J1411" i="1"/>
  <c r="J1372" i="1"/>
  <c r="J1370" i="1"/>
  <c r="J1284" i="1"/>
  <c r="J1295" i="1" s="1"/>
  <c r="J1280" i="1"/>
  <c r="J1291" i="1" s="1"/>
  <c r="J1276" i="1"/>
  <c r="J1283" i="1"/>
  <c r="J1294" i="1" s="1"/>
  <c r="J1282" i="1"/>
  <c r="J1293" i="1" s="1"/>
  <c r="J1281" i="1"/>
  <c r="J1292" i="1" s="1"/>
  <c r="J1279" i="1"/>
  <c r="J1278" i="1"/>
  <c r="J1277" i="1"/>
  <c r="J1275" i="1"/>
  <c r="J1208" i="1"/>
  <c r="J1214" i="1" s="1"/>
  <c r="J1222" i="1" s="1"/>
  <c r="J1207" i="1"/>
  <c r="J1213" i="1" s="1"/>
  <c r="J1221" i="1" s="1"/>
  <c r="J1204" i="1"/>
  <c r="J1210" i="1" s="1"/>
  <c r="J1218" i="1" s="1"/>
  <c r="J1194" i="1"/>
  <c r="J1193" i="1"/>
  <c r="J1190" i="1"/>
  <c r="J1189" i="1"/>
  <c r="J1192" i="1"/>
  <c r="J1191" i="1"/>
  <c r="J1206" i="1"/>
  <c r="J1212" i="1" s="1"/>
  <c r="J1220" i="1" s="1"/>
  <c r="J1205" i="1"/>
  <c r="J1211" i="1" s="1"/>
  <c r="J1219" i="1" s="1"/>
  <c r="J1137" i="1"/>
  <c r="J1138" i="1" s="1"/>
  <c r="J1139" i="1" s="1"/>
  <c r="J1141" i="1" s="1"/>
  <c r="J1142" i="1" s="1"/>
  <c r="J1143" i="1" s="1"/>
  <c r="J1144" i="1" s="1"/>
  <c r="J1145" i="1" s="1"/>
  <c r="J1135" i="1"/>
  <c r="J1118" i="1"/>
  <c r="J1117" i="1"/>
  <c r="J1116" i="1"/>
  <c r="J1106" i="1"/>
  <c r="J1110" i="1" s="1"/>
  <c r="J1105" i="1"/>
  <c r="J1109" i="1" s="1"/>
  <c r="J1104" i="1"/>
  <c r="J1108" i="1" s="1"/>
  <c r="G907" i="1"/>
  <c r="G906" i="1"/>
  <c r="G905" i="1"/>
  <c r="G904" i="1"/>
  <c r="G903" i="1"/>
  <c r="J784" i="1"/>
  <c r="J793" i="1" s="1"/>
  <c r="J782" i="1"/>
  <c r="J805" i="1" s="1"/>
  <c r="J780" i="1"/>
  <c r="J776" i="1"/>
  <c r="J799" i="1" s="1"/>
  <c r="I775" i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J774" i="1"/>
  <c r="J797" i="1" s="1"/>
  <c r="J772" i="1"/>
  <c r="J770" i="1"/>
  <c r="J767" i="1"/>
  <c r="I767" i="1"/>
  <c r="I768" i="1" s="1"/>
  <c r="I769" i="1" s="1"/>
  <c r="I770" i="1" s="1"/>
  <c r="I771" i="1" s="1"/>
  <c r="I772" i="1" s="1"/>
  <c r="J786" i="1"/>
  <c r="J795" i="1" s="1"/>
  <c r="J771" i="1"/>
  <c r="J783" i="1"/>
  <c r="J792" i="1" s="1"/>
  <c r="J769" i="1"/>
  <c r="J781" i="1"/>
  <c r="J779" i="1"/>
  <c r="J778" i="1"/>
  <c r="J801" i="1" s="1"/>
  <c r="J777" i="1"/>
  <c r="J800" i="1" s="1"/>
  <c r="J775" i="1"/>
  <c r="J798" i="1" s="1"/>
  <c r="I748" i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357" i="1"/>
  <c r="J361" i="1"/>
  <c r="J364" i="1"/>
  <c r="J363" i="1"/>
  <c r="J360" i="1"/>
  <c r="J359" i="1"/>
  <c r="J356" i="1"/>
  <c r="J355" i="1"/>
  <c r="J306" i="1"/>
  <c r="J305" i="1"/>
  <c r="J304" i="1"/>
  <c r="J298" i="1"/>
  <c r="J297" i="1"/>
  <c r="J269" i="1"/>
  <c r="J268" i="1"/>
  <c r="J267" i="1"/>
  <c r="J224" i="1"/>
  <c r="J231" i="1" s="1"/>
  <c r="J238" i="1" s="1"/>
  <c r="J245" i="1" s="1"/>
  <c r="J252" i="1" s="1"/>
  <c r="J265" i="1" s="1"/>
  <c r="J221" i="1"/>
  <c r="J228" i="1" s="1"/>
  <c r="J235" i="1" s="1"/>
  <c r="J242" i="1" s="1"/>
  <c r="J249" i="1" s="1"/>
  <c r="J262" i="1" s="1"/>
  <c r="J220" i="1"/>
  <c r="J227" i="1" s="1"/>
  <c r="J234" i="1" s="1"/>
  <c r="J241" i="1" s="1"/>
  <c r="J248" i="1" s="1"/>
  <c r="J261" i="1" s="1"/>
  <c r="J225" i="1"/>
  <c r="J232" i="1" s="1"/>
  <c r="J239" i="1" s="1"/>
  <c r="J246" i="1" s="1"/>
  <c r="J253" i="1" s="1"/>
  <c r="J266" i="1" s="1"/>
  <c r="J223" i="1"/>
  <c r="J230" i="1" s="1"/>
  <c r="J237" i="1" s="1"/>
  <c r="J244" i="1" s="1"/>
  <c r="J251" i="1" s="1"/>
  <c r="J264" i="1" s="1"/>
  <c r="J222" i="1"/>
  <c r="J229" i="1" s="1"/>
  <c r="J236" i="1" s="1"/>
  <c r="J243" i="1" s="1"/>
  <c r="J250" i="1" s="1"/>
  <c r="J263" i="1" s="1"/>
  <c r="H190" i="1"/>
  <c r="H191" i="1" s="1"/>
  <c r="H192" i="1" s="1"/>
  <c r="H193" i="1" s="1"/>
  <c r="H194" i="1" s="1"/>
  <c r="H195" i="1" s="1"/>
  <c r="H196" i="1" s="1"/>
  <c r="H197" i="1" s="1"/>
  <c r="H198" i="1" s="1"/>
  <c r="H199" i="1" s="1"/>
  <c r="H177" i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64" i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J142" i="1"/>
  <c r="J175" i="1" s="1"/>
  <c r="J188" i="1" s="1"/>
  <c r="J141" i="1"/>
  <c r="J174" i="1" s="1"/>
  <c r="J187" i="1" s="1"/>
  <c r="J140" i="1"/>
  <c r="J139" i="1"/>
  <c r="J138" i="1"/>
  <c r="J137" i="1"/>
  <c r="J136" i="1"/>
  <c r="J135" i="1"/>
  <c r="J134" i="1"/>
  <c r="J133" i="1"/>
  <c r="J132" i="1"/>
  <c r="J154" i="1" s="1"/>
  <c r="J165" i="1" s="1"/>
  <c r="J178" i="1" s="1"/>
  <c r="J191" i="1" s="1"/>
  <c r="J131" i="1"/>
  <c r="J153" i="1" s="1"/>
  <c r="J164" i="1" s="1"/>
  <c r="J177" i="1" s="1"/>
  <c r="J190" i="1" s="1"/>
  <c r="J116" i="1"/>
  <c r="J115" i="1"/>
  <c r="J114" i="1"/>
  <c r="J113" i="1"/>
  <c r="J112" i="1"/>
  <c r="J111" i="1"/>
  <c r="J110" i="1"/>
  <c r="J109" i="1"/>
  <c r="J108" i="1"/>
  <c r="J107" i="1"/>
  <c r="J106" i="1"/>
  <c r="J89" i="1"/>
  <c r="J85" i="1"/>
  <c r="J81" i="1"/>
  <c r="J91" i="1"/>
  <c r="J90" i="1"/>
  <c r="J88" i="1"/>
  <c r="J87" i="1"/>
  <c r="J86" i="1"/>
  <c r="J84" i="1"/>
  <c r="J83" i="1"/>
  <c r="J82" i="1"/>
  <c r="J35" i="1"/>
  <c r="J23" i="1"/>
  <c r="J34" i="1" s="1"/>
  <c r="J45" i="1" s="1"/>
  <c r="J56" i="1" s="1"/>
  <c r="J67" i="1" s="1"/>
  <c r="J22" i="1"/>
  <c r="J33" i="1" s="1"/>
  <c r="J44" i="1" s="1"/>
  <c r="J55" i="1" s="1"/>
  <c r="J66" i="1" s="1"/>
  <c r="J19" i="1"/>
  <c r="J30" i="1" s="1"/>
  <c r="J41" i="1" s="1"/>
  <c r="J52" i="1" s="1"/>
  <c r="J63" i="1" s="1"/>
  <c r="J18" i="1"/>
  <c r="J29" i="1" s="1"/>
  <c r="J40" i="1" s="1"/>
  <c r="J51" i="1" s="1"/>
  <c r="J62" i="1" s="1"/>
  <c r="J15" i="1"/>
  <c r="J26" i="1" s="1"/>
  <c r="J37" i="1" s="1"/>
  <c r="J48" i="1" s="1"/>
  <c r="J59" i="1" s="1"/>
  <c r="J14" i="1"/>
  <c r="J25" i="1" s="1"/>
  <c r="J36" i="1" s="1"/>
  <c r="J47" i="1" s="1"/>
  <c r="J58" i="1" s="1"/>
  <c r="J21" i="1"/>
  <c r="J32" i="1" s="1"/>
  <c r="J43" i="1" s="1"/>
  <c r="J54" i="1" s="1"/>
  <c r="J65" i="1" s="1"/>
  <c r="J20" i="1"/>
  <c r="J31" i="1" s="1"/>
  <c r="J42" i="1" s="1"/>
  <c r="J53" i="1" s="1"/>
  <c r="J64" i="1" s="1"/>
  <c r="J17" i="1"/>
  <c r="J28" i="1" s="1"/>
  <c r="J39" i="1" s="1"/>
  <c r="J50" i="1" s="1"/>
  <c r="J61" i="1" s="1"/>
  <c r="J16" i="1"/>
  <c r="J27" i="1" s="1"/>
  <c r="J38" i="1" s="1"/>
  <c r="J49" i="1" s="1"/>
  <c r="J60" i="1" s="1"/>
  <c r="P70" i="8"/>
  <c r="K70" i="8"/>
  <c r="J70" i="8"/>
  <c r="O70" i="8" s="1"/>
  <c r="P69" i="8"/>
  <c r="P68" i="8"/>
  <c r="O68" i="8"/>
  <c r="K68" i="8"/>
  <c r="J68" i="8"/>
  <c r="P67" i="8"/>
  <c r="K67" i="8"/>
  <c r="O67" i="8" s="1"/>
  <c r="J67" i="8"/>
  <c r="P66" i="8"/>
  <c r="K66" i="8"/>
  <c r="J66" i="8"/>
  <c r="O66" i="8" s="1"/>
  <c r="P65" i="8"/>
  <c r="K65" i="8"/>
  <c r="J65" i="8"/>
  <c r="O65" i="8" s="1"/>
  <c r="P64" i="8"/>
  <c r="P63" i="8"/>
  <c r="O63" i="8"/>
  <c r="K63" i="8"/>
  <c r="J63" i="8"/>
  <c r="P62" i="8"/>
  <c r="K62" i="8"/>
  <c r="J62" i="8"/>
  <c r="O62" i="8" s="1"/>
  <c r="Q61" i="8"/>
  <c r="P61" i="8"/>
  <c r="Q60" i="8"/>
  <c r="P60" i="8"/>
  <c r="K52" i="8"/>
  <c r="J52" i="8"/>
  <c r="G52" i="8"/>
  <c r="O52" i="8" s="1"/>
  <c r="O51" i="8"/>
  <c r="K51" i="8"/>
  <c r="J51" i="8"/>
  <c r="K49" i="8"/>
  <c r="J49" i="8"/>
  <c r="O49" i="8" s="1"/>
  <c r="K48" i="8"/>
  <c r="J48" i="8"/>
  <c r="O48" i="8" s="1"/>
  <c r="O47" i="8"/>
  <c r="K47" i="8"/>
  <c r="J47" i="8"/>
  <c r="O46" i="8"/>
  <c r="K46" i="8"/>
  <c r="J46" i="8"/>
  <c r="K44" i="8"/>
  <c r="O44" i="8" s="1"/>
  <c r="J44" i="8"/>
  <c r="B44" i="8"/>
  <c r="B45" i="8" s="1"/>
  <c r="B46" i="8" s="1"/>
  <c r="B47" i="8" s="1"/>
  <c r="B48" i="8" s="1"/>
  <c r="B49" i="8" s="1"/>
  <c r="B51" i="8" s="1"/>
  <c r="B52" i="8" s="1"/>
  <c r="K43" i="8"/>
  <c r="J43" i="8"/>
  <c r="O43" i="8" s="1"/>
  <c r="B43" i="8"/>
  <c r="Q42" i="8"/>
  <c r="Q43" i="8" s="1"/>
  <c r="B42" i="8"/>
  <c r="Q31" i="8"/>
  <c r="P31" i="8"/>
  <c r="Q30" i="8"/>
  <c r="P30" i="8"/>
  <c r="O30" i="8"/>
  <c r="P29" i="8"/>
  <c r="P28" i="8"/>
  <c r="P27" i="8"/>
  <c r="P26" i="8"/>
  <c r="P25" i="8"/>
  <c r="P24" i="8"/>
  <c r="P23" i="8"/>
  <c r="P22" i="8"/>
  <c r="L22" i="8"/>
  <c r="L23" i="8" s="1"/>
  <c r="P21" i="8"/>
  <c r="O21" i="8"/>
  <c r="L21" i="8"/>
  <c r="Q20" i="8"/>
  <c r="P20" i="8"/>
  <c r="O20" i="8"/>
  <c r="Q6" i="8"/>
  <c r="Q21" i="8" s="1"/>
  <c r="L6" i="8"/>
  <c r="O6" i="8" s="1"/>
  <c r="O5" i="8"/>
  <c r="H108" i="6"/>
  <c r="H109" i="6" s="1"/>
  <c r="L107" i="6"/>
  <c r="L108" i="6" s="1"/>
  <c r="L109" i="6" s="1"/>
  <c r="L110" i="6" s="1"/>
  <c r="L111" i="6" s="1"/>
  <c r="H107" i="6"/>
  <c r="O107" i="6" s="1"/>
  <c r="O100" i="6"/>
  <c r="L90" i="6"/>
  <c r="L91" i="6" s="1"/>
  <c r="L92" i="6" s="1"/>
  <c r="L93" i="6" s="1"/>
  <c r="L94" i="6" s="1"/>
  <c r="H90" i="6"/>
  <c r="H91" i="6" s="1"/>
  <c r="Q84" i="6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O83" i="6"/>
  <c r="O75" i="6"/>
  <c r="O74" i="6"/>
  <c r="O73" i="6"/>
  <c r="O72" i="6"/>
  <c r="O71" i="6"/>
  <c r="O70" i="6"/>
  <c r="O69" i="6"/>
  <c r="O68" i="6"/>
  <c r="O67" i="6"/>
  <c r="O66" i="6"/>
  <c r="O58" i="6"/>
  <c r="O57" i="6"/>
  <c r="O56" i="6"/>
  <c r="O55" i="6"/>
  <c r="O54" i="6"/>
  <c r="O53" i="6"/>
  <c r="O52" i="6"/>
  <c r="Q51" i="6"/>
  <c r="Q52" i="6" s="1"/>
  <c r="Q53" i="6" s="1"/>
  <c r="Q54" i="6" s="1"/>
  <c r="Q55" i="6" s="1"/>
  <c r="Q56" i="6" s="1"/>
  <c r="Q57" i="6" s="1"/>
  <c r="Q58" i="6" s="1"/>
  <c r="O51" i="6"/>
  <c r="Q50" i="6"/>
  <c r="O50" i="6"/>
  <c r="O49" i="6"/>
  <c r="O43" i="6"/>
  <c r="G151" i="1" s="1"/>
  <c r="O42" i="6"/>
  <c r="G150" i="1" s="1"/>
  <c r="O41" i="6"/>
  <c r="G149" i="1" s="1"/>
  <c r="N41" i="6"/>
  <c r="O40" i="6"/>
  <c r="G148" i="1" s="1"/>
  <c r="N40" i="6"/>
  <c r="O39" i="6"/>
  <c r="G147" i="1" s="1"/>
  <c r="O38" i="6"/>
  <c r="G146" i="1" s="1"/>
  <c r="Q37" i="6"/>
  <c r="Q38" i="6" s="1"/>
  <c r="Q39" i="6" s="1"/>
  <c r="Q40" i="6" s="1"/>
  <c r="Q41" i="6" s="1"/>
  <c r="Q42" i="6" s="1"/>
  <c r="Q43" i="6" s="1"/>
  <c r="O37" i="6"/>
  <c r="G145" i="1" s="1"/>
  <c r="O36" i="6"/>
  <c r="O30" i="6"/>
  <c r="O29" i="6"/>
  <c r="O28" i="6"/>
  <c r="O27" i="6"/>
  <c r="N26" i="6"/>
  <c r="O26" i="6" s="1"/>
  <c r="Z25" i="6"/>
  <c r="AA25" i="6" s="1"/>
  <c r="O25" i="6"/>
  <c r="N25" i="6"/>
  <c r="Z24" i="6"/>
  <c r="AA24" i="6" s="1"/>
  <c r="O24" i="6"/>
  <c r="AA23" i="6"/>
  <c r="Z23" i="6"/>
  <c r="O23" i="6"/>
  <c r="Z22" i="6"/>
  <c r="AA22" i="6" s="1"/>
  <c r="O22" i="6"/>
  <c r="AA21" i="6"/>
  <c r="Z21" i="6"/>
  <c r="O21" i="6"/>
  <c r="Z20" i="6"/>
  <c r="AA20" i="6" s="1"/>
  <c r="Q20" i="6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O20" i="6"/>
  <c r="AA19" i="6"/>
  <c r="Z19" i="6"/>
  <c r="O19" i="6"/>
  <c r="AA18" i="6"/>
  <c r="Z18" i="6"/>
  <c r="Z17" i="6"/>
  <c r="AA17" i="6" s="1"/>
  <c r="O15" i="6"/>
  <c r="Z14" i="6"/>
  <c r="AA14" i="6" s="1"/>
  <c r="O14" i="6"/>
  <c r="Z13" i="6"/>
  <c r="AA13" i="6" s="1"/>
  <c r="O13" i="6"/>
  <c r="O12" i="6"/>
  <c r="O11" i="6"/>
  <c r="N11" i="6"/>
  <c r="O10" i="6"/>
  <c r="N10" i="6"/>
  <c r="O9" i="6"/>
  <c r="AA8" i="6"/>
  <c r="Z8" i="6"/>
  <c r="O8" i="6"/>
  <c r="AA7" i="6"/>
  <c r="Z7" i="6"/>
  <c r="O7" i="6"/>
  <c r="AA6" i="6"/>
  <c r="Z6" i="6"/>
  <c r="O6" i="6"/>
  <c r="AA5" i="6"/>
  <c r="Z5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O5" i="6"/>
  <c r="AA4" i="6"/>
  <c r="Z4" i="6"/>
  <c r="O4" i="6"/>
  <c r="AA3" i="6"/>
  <c r="Z3" i="6"/>
  <c r="G133" i="1" l="1"/>
  <c r="G120" i="1"/>
  <c r="G134" i="1"/>
  <c r="G121" i="1"/>
  <c r="G135" i="1"/>
  <c r="G122" i="1"/>
  <c r="G136" i="1"/>
  <c r="G123" i="1"/>
  <c r="G137" i="1"/>
  <c r="G124" i="1"/>
  <c r="G138" i="1"/>
  <c r="G125" i="1"/>
  <c r="G139" i="1"/>
  <c r="G126" i="1"/>
  <c r="G140" i="1"/>
  <c r="G127" i="1"/>
  <c r="G141" i="1"/>
  <c r="G128" i="1"/>
  <c r="G142" i="1"/>
  <c r="G129" i="1"/>
  <c r="G132" i="1"/>
  <c r="G119" i="1"/>
  <c r="N127" i="9"/>
  <c r="N128" i="9" s="1"/>
  <c r="F126" i="9"/>
  <c r="G126" i="9" s="1"/>
  <c r="G383" i="1" s="1"/>
  <c r="N223" i="9"/>
  <c r="F222" i="9"/>
  <c r="G222" i="9" s="1"/>
  <c r="G479" i="1" s="1"/>
  <c r="F25" i="9"/>
  <c r="G235" i="1" s="1"/>
  <c r="L53" i="5"/>
  <c r="G825" i="1"/>
  <c r="G830" i="1"/>
  <c r="G826" i="1"/>
  <c r="G832" i="1"/>
  <c r="G831" i="1"/>
  <c r="G835" i="1"/>
  <c r="G829" i="1"/>
  <c r="G834" i="1"/>
  <c r="G828" i="1"/>
  <c r="G839" i="1"/>
  <c r="G833" i="1"/>
  <c r="G827" i="1"/>
  <c r="L23" i="5"/>
  <c r="L56" i="5"/>
  <c r="L19" i="5"/>
  <c r="L54" i="5"/>
  <c r="L55" i="5"/>
  <c r="L98" i="5"/>
  <c r="L50" i="5"/>
  <c r="L57" i="5"/>
  <c r="I521" i="5"/>
  <c r="G900" i="1" s="1"/>
  <c r="L20" i="5"/>
  <c r="L104" i="5"/>
  <c r="L123" i="5"/>
  <c r="L125" i="5"/>
  <c r="L140" i="5"/>
  <c r="L121" i="5"/>
  <c r="L157" i="5"/>
  <c r="L120" i="5"/>
  <c r="L158" i="5"/>
  <c r="I522" i="5"/>
  <c r="G901" i="1" s="1"/>
  <c r="L156" i="5"/>
  <c r="L159" i="5"/>
  <c r="L24" i="5"/>
  <c r="L103" i="5"/>
  <c r="L99" i="5"/>
  <c r="L101" i="5"/>
  <c r="I518" i="5"/>
  <c r="G897" i="1" s="1"/>
  <c r="I520" i="5"/>
  <c r="G899" i="1" s="1"/>
  <c r="L122" i="5"/>
  <c r="L21" i="5"/>
  <c r="L141" i="5"/>
  <c r="L100" i="5"/>
  <c r="L139" i="5"/>
  <c r="L142" i="5"/>
  <c r="I519" i="5"/>
  <c r="G898" i="1" s="1"/>
  <c r="J1286" i="1"/>
  <c r="J1302" i="1"/>
  <c r="J1288" i="1"/>
  <c r="J1304" i="1"/>
  <c r="J1289" i="1"/>
  <c r="J1305" i="1"/>
  <c r="J1290" i="1"/>
  <c r="J1306" i="1"/>
  <c r="J1287" i="1"/>
  <c r="J1303" i="1"/>
  <c r="F71" i="2"/>
  <c r="F70" i="2"/>
  <c r="M69" i="2"/>
  <c r="G1303" i="1" s="1"/>
  <c r="J71" i="2"/>
  <c r="J72" i="2" s="1"/>
  <c r="J70" i="2"/>
  <c r="F156" i="9"/>
  <c r="G156" i="9" s="1"/>
  <c r="G413" i="1" s="1"/>
  <c r="N157" i="9"/>
  <c r="F157" i="9" s="1"/>
  <c r="G157" i="9" s="1"/>
  <c r="G414" i="1" s="1"/>
  <c r="F223" i="9"/>
  <c r="G223" i="9" s="1"/>
  <c r="G480" i="1" s="1"/>
  <c r="N224" i="9"/>
  <c r="N225" i="9" s="1"/>
  <c r="F225" i="9" s="1"/>
  <c r="G225" i="9" s="1"/>
  <c r="G482" i="1" s="1"/>
  <c r="F264" i="9"/>
  <c r="G264" i="9" s="1"/>
  <c r="G514" i="1" s="1"/>
  <c r="N266" i="9"/>
  <c r="G368" i="9"/>
  <c r="G355" i="1" s="1"/>
  <c r="G376" i="9"/>
  <c r="G363" i="1" s="1"/>
  <c r="J803" i="1"/>
  <c r="J789" i="1"/>
  <c r="L48" i="3"/>
  <c r="L124" i="3"/>
  <c r="I125" i="3"/>
  <c r="I126" i="3" s="1"/>
  <c r="L133" i="3"/>
  <c r="E134" i="3"/>
  <c r="L134" i="3" s="1"/>
  <c r="E84" i="3"/>
  <c r="L83" i="3"/>
  <c r="E126" i="3"/>
  <c r="L126" i="3" s="1"/>
  <c r="L125" i="3"/>
  <c r="E115" i="3"/>
  <c r="L113" i="3"/>
  <c r="L93" i="3"/>
  <c r="E94" i="3"/>
  <c r="I59" i="3"/>
  <c r="L59" i="3" s="1"/>
  <c r="L58" i="3"/>
  <c r="I48" i="3"/>
  <c r="I49" i="3" s="1"/>
  <c r="I50" i="3" s="1"/>
  <c r="I51" i="3" s="1"/>
  <c r="L51" i="3" s="1"/>
  <c r="E105" i="3"/>
  <c r="L105" i="3" s="1"/>
  <c r="L76" i="3"/>
  <c r="E112" i="3"/>
  <c r="L112" i="3" s="1"/>
  <c r="E114" i="3"/>
  <c r="L114" i="3" s="1"/>
  <c r="L123" i="3"/>
  <c r="I112" i="3"/>
  <c r="I114" i="3"/>
  <c r="F18" i="7"/>
  <c r="M17" i="7"/>
  <c r="F117" i="7"/>
  <c r="M116" i="7"/>
  <c r="F138" i="7"/>
  <c r="M137" i="7"/>
  <c r="F103" i="7"/>
  <c r="M102" i="7"/>
  <c r="M125" i="7"/>
  <c r="F126" i="7"/>
  <c r="F45" i="7"/>
  <c r="M44" i="7"/>
  <c r="M149" i="7"/>
  <c r="F33" i="7"/>
  <c r="M32" i="7"/>
  <c r="F56" i="7"/>
  <c r="M55" i="7"/>
  <c r="F152" i="7"/>
  <c r="M151" i="7"/>
  <c r="M31" i="7"/>
  <c r="M43" i="7"/>
  <c r="O65" i="7"/>
  <c r="F78" i="7"/>
  <c r="M115" i="7"/>
  <c r="M150" i="7"/>
  <c r="J19" i="2"/>
  <c r="J20" i="2" s="1"/>
  <c r="J21" i="2" s="1"/>
  <c r="J22" i="2" s="1"/>
  <c r="J23" i="2" s="1"/>
  <c r="J24" i="2" s="1"/>
  <c r="J25" i="2" s="1"/>
  <c r="J26" i="2" s="1"/>
  <c r="M18" i="2"/>
  <c r="F20" i="2"/>
  <c r="F9" i="2"/>
  <c r="M9" i="2" s="1"/>
  <c r="M8" i="2"/>
  <c r="J36" i="2"/>
  <c r="J37" i="2" s="1"/>
  <c r="J38" i="2" s="1"/>
  <c r="M35" i="2"/>
  <c r="F37" i="2"/>
  <c r="M36" i="2"/>
  <c r="M63" i="2"/>
  <c r="F7" i="2"/>
  <c r="M7" i="2" s="1"/>
  <c r="J7" i="2"/>
  <c r="M62" i="2"/>
  <c r="M17" i="2"/>
  <c r="F49" i="17"/>
  <c r="M48" i="17"/>
  <c r="M71" i="17"/>
  <c r="F72" i="17"/>
  <c r="M47" i="17"/>
  <c r="M70" i="17"/>
  <c r="O23" i="16"/>
  <c r="L24" i="16"/>
  <c r="L7" i="16"/>
  <c r="O22" i="16"/>
  <c r="Q7" i="16"/>
  <c r="Q43" i="16"/>
  <c r="L21" i="13"/>
  <c r="R21" i="13" s="1"/>
  <c r="E22" i="13"/>
  <c r="S38" i="13"/>
  <c r="R19" i="13"/>
  <c r="L20" i="13"/>
  <c r="R20" i="13" s="1"/>
  <c r="F26" i="9"/>
  <c r="G236" i="1" s="1"/>
  <c r="N27" i="9"/>
  <c r="F331" i="9"/>
  <c r="G331" i="9" s="1"/>
  <c r="G581" i="1" s="1"/>
  <c r="N332" i="9"/>
  <c r="F195" i="9"/>
  <c r="G195" i="9" s="1"/>
  <c r="G452" i="1" s="1"/>
  <c r="N197" i="9"/>
  <c r="N12" i="9"/>
  <c r="N19" i="9"/>
  <c r="F214" i="9"/>
  <c r="G214" i="9" s="1"/>
  <c r="G471" i="1" s="1"/>
  <c r="N215" i="9"/>
  <c r="F245" i="9"/>
  <c r="G245" i="9" s="1"/>
  <c r="G502" i="1" s="1"/>
  <c r="N246" i="9"/>
  <c r="F266" i="9"/>
  <c r="G266" i="9" s="1"/>
  <c r="G516" i="1" s="1"/>
  <c r="N267" i="9"/>
  <c r="N5" i="9"/>
  <c r="N99" i="9"/>
  <c r="F224" i="9"/>
  <c r="G224" i="9" s="1"/>
  <c r="G481" i="1" s="1"/>
  <c r="N226" i="9"/>
  <c r="G367" i="9"/>
  <c r="G354" i="1" s="1"/>
  <c r="J155" i="1"/>
  <c r="J166" i="1" s="1"/>
  <c r="J179" i="1" s="1"/>
  <c r="J192" i="1" s="1"/>
  <c r="J144" i="1"/>
  <c r="J159" i="1"/>
  <c r="J170" i="1" s="1"/>
  <c r="J183" i="1" s="1"/>
  <c r="J196" i="1" s="1"/>
  <c r="J148" i="1"/>
  <c r="J802" i="1"/>
  <c r="J788" i="1"/>
  <c r="J156" i="1"/>
  <c r="J167" i="1" s="1"/>
  <c r="J180" i="1" s="1"/>
  <c r="J193" i="1" s="1"/>
  <c r="J145" i="1"/>
  <c r="J160" i="1"/>
  <c r="J171" i="1" s="1"/>
  <c r="J184" i="1" s="1"/>
  <c r="J197" i="1" s="1"/>
  <c r="J149" i="1"/>
  <c r="J146" i="1"/>
  <c r="J157" i="1"/>
  <c r="J168" i="1" s="1"/>
  <c r="J181" i="1" s="1"/>
  <c r="J194" i="1" s="1"/>
  <c r="J150" i="1"/>
  <c r="J161" i="1"/>
  <c r="J172" i="1" s="1"/>
  <c r="J185" i="1" s="1"/>
  <c r="J198" i="1" s="1"/>
  <c r="J804" i="1"/>
  <c r="J790" i="1"/>
  <c r="J147" i="1"/>
  <c r="J158" i="1"/>
  <c r="J169" i="1" s="1"/>
  <c r="J182" i="1" s="1"/>
  <c r="J195" i="1" s="1"/>
  <c r="J151" i="1"/>
  <c r="J162" i="1"/>
  <c r="J173" i="1" s="1"/>
  <c r="J186" i="1" s="1"/>
  <c r="J199" i="1" s="1"/>
  <c r="J785" i="1"/>
  <c r="J794" i="1" s="1"/>
  <c r="J1432" i="1"/>
  <c r="J354" i="1"/>
  <c r="J358" i="1"/>
  <c r="J362" i="1"/>
  <c r="J366" i="1"/>
  <c r="J768" i="1"/>
  <c r="J1433" i="1"/>
  <c r="J365" i="1"/>
  <c r="J367" i="1"/>
  <c r="J766" i="1"/>
  <c r="J791" i="1"/>
  <c r="Q62" i="8"/>
  <c r="Q44" i="8"/>
  <c r="O23" i="8"/>
  <c r="L24" i="8"/>
  <c r="L7" i="8"/>
  <c r="O22" i="8"/>
  <c r="Q7" i="8"/>
  <c r="O91" i="6"/>
  <c r="H92" i="6"/>
  <c r="O109" i="6"/>
  <c r="H110" i="6"/>
  <c r="O90" i="6"/>
  <c r="O108" i="6"/>
  <c r="N129" i="9" l="1"/>
  <c r="F128" i="9"/>
  <c r="G128" i="9" s="1"/>
  <c r="G385" i="1" s="1"/>
  <c r="F127" i="9"/>
  <c r="G127" i="9" s="1"/>
  <c r="G384" i="1" s="1"/>
  <c r="N158" i="9"/>
  <c r="N165" i="9" s="1"/>
  <c r="F165" i="9" s="1"/>
  <c r="G165" i="9" s="1"/>
  <c r="G422" i="1" s="1"/>
  <c r="M70" i="2"/>
  <c r="G1304" i="1" s="1"/>
  <c r="F72" i="2"/>
  <c r="M72" i="2" s="1"/>
  <c r="G1306" i="1" s="1"/>
  <c r="M71" i="2"/>
  <c r="G1305" i="1" s="1"/>
  <c r="L50" i="3"/>
  <c r="E95" i="3"/>
  <c r="L94" i="3"/>
  <c r="L84" i="3"/>
  <c r="E85" i="3"/>
  <c r="E116" i="3"/>
  <c r="L116" i="3" s="1"/>
  <c r="L115" i="3"/>
  <c r="L49" i="3"/>
  <c r="F57" i="7"/>
  <c r="M56" i="7"/>
  <c r="F79" i="7"/>
  <c r="M78" i="7"/>
  <c r="F104" i="7"/>
  <c r="M103" i="7"/>
  <c r="F139" i="7"/>
  <c r="M138" i="7"/>
  <c r="O77" i="7"/>
  <c r="O66" i="7"/>
  <c r="M33" i="7"/>
  <c r="F34" i="7"/>
  <c r="M45" i="7"/>
  <c r="F46" i="7"/>
  <c r="M117" i="7"/>
  <c r="F118" i="7"/>
  <c r="F153" i="7"/>
  <c r="M152" i="7"/>
  <c r="F127" i="7"/>
  <c r="M126" i="7"/>
  <c r="F19" i="7"/>
  <c r="M18" i="7"/>
  <c r="M19" i="2"/>
  <c r="F21" i="2"/>
  <c r="M20" i="2"/>
  <c r="F38" i="2"/>
  <c r="M38" i="2" s="1"/>
  <c r="M37" i="2"/>
  <c r="F73" i="17"/>
  <c r="M72" i="17"/>
  <c r="F50" i="17"/>
  <c r="M49" i="17"/>
  <c r="Q62" i="16"/>
  <c r="Q44" i="16"/>
  <c r="L25" i="16"/>
  <c r="O24" i="16"/>
  <c r="Q8" i="16"/>
  <c r="Q22" i="16"/>
  <c r="L8" i="16"/>
  <c r="O7" i="16"/>
  <c r="L22" i="13"/>
  <c r="R22" i="13" s="1"/>
  <c r="E23" i="13"/>
  <c r="N13" i="9"/>
  <c r="F12" i="9"/>
  <c r="G222" i="1" s="1"/>
  <c r="N247" i="9"/>
  <c r="F246" i="9"/>
  <c r="G246" i="9" s="1"/>
  <c r="G503" i="1" s="1"/>
  <c r="F197" i="9"/>
  <c r="G197" i="9" s="1"/>
  <c r="G454" i="1" s="1"/>
  <c r="N198" i="9"/>
  <c r="N228" i="9"/>
  <c r="F226" i="9"/>
  <c r="G226" i="9" s="1"/>
  <c r="G483" i="1" s="1"/>
  <c r="N216" i="9"/>
  <c r="F215" i="9"/>
  <c r="G215" i="9" s="1"/>
  <c r="G472" i="1" s="1"/>
  <c r="F332" i="9"/>
  <c r="G332" i="9" s="1"/>
  <c r="G582" i="1" s="1"/>
  <c r="N333" i="9"/>
  <c r="N100" i="9"/>
  <c r="F99" i="9"/>
  <c r="G99" i="9" s="1"/>
  <c r="G311" i="1" s="1"/>
  <c r="F158" i="9"/>
  <c r="G158" i="9" s="1"/>
  <c r="G415" i="1" s="1"/>
  <c r="N6" i="9"/>
  <c r="F5" i="9"/>
  <c r="G215" i="1" s="1"/>
  <c r="F267" i="9"/>
  <c r="G267" i="9" s="1"/>
  <c r="G517" i="1" s="1"/>
  <c r="N268" i="9"/>
  <c r="N20" i="9"/>
  <c r="F19" i="9"/>
  <c r="G229" i="1" s="1"/>
  <c r="F27" i="9"/>
  <c r="G237" i="1" s="1"/>
  <c r="N28" i="9"/>
  <c r="L8" i="8"/>
  <c r="O7" i="8"/>
  <c r="Q45" i="8"/>
  <c r="Q63" i="8"/>
  <c r="Q8" i="8"/>
  <c r="Q22" i="8"/>
  <c r="L25" i="8"/>
  <c r="O24" i="8"/>
  <c r="H111" i="6"/>
  <c r="O111" i="6" s="1"/>
  <c r="O110" i="6"/>
  <c r="H93" i="6"/>
  <c r="O92" i="6"/>
  <c r="N130" i="9" l="1"/>
  <c r="F129" i="9"/>
  <c r="G129" i="9" s="1"/>
  <c r="G386" i="1" s="1"/>
  <c r="N159" i="9"/>
  <c r="N166" i="9" s="1"/>
  <c r="E86" i="3"/>
  <c r="L85" i="3"/>
  <c r="E96" i="3"/>
  <c r="L95" i="3"/>
  <c r="O67" i="7"/>
  <c r="O78" i="7"/>
  <c r="F154" i="7"/>
  <c r="M153" i="7"/>
  <c r="F58" i="7"/>
  <c r="M57" i="7"/>
  <c r="F119" i="7"/>
  <c r="M118" i="7"/>
  <c r="F140" i="7"/>
  <c r="M139" i="7"/>
  <c r="F20" i="7"/>
  <c r="M19" i="7"/>
  <c r="F105" i="7"/>
  <c r="M104" i="7"/>
  <c r="F35" i="7"/>
  <c r="M34" i="7"/>
  <c r="F47" i="7"/>
  <c r="M46" i="7"/>
  <c r="F128" i="7"/>
  <c r="M127" i="7"/>
  <c r="F80" i="7"/>
  <c r="M79" i="7"/>
  <c r="F22" i="2"/>
  <c r="M21" i="2"/>
  <c r="F51" i="17"/>
  <c r="M50" i="17"/>
  <c r="M73" i="17"/>
  <c r="F74" i="17"/>
  <c r="O25" i="16"/>
  <c r="L26" i="16"/>
  <c r="O26" i="16" s="1"/>
  <c r="L27" i="16"/>
  <c r="L9" i="16"/>
  <c r="O8" i="16"/>
  <c r="Q45" i="16"/>
  <c r="Q63" i="16"/>
  <c r="Q23" i="16"/>
  <c r="Q9" i="16"/>
  <c r="L23" i="13"/>
  <c r="R23" i="13" s="1"/>
  <c r="E24" i="13"/>
  <c r="F247" i="9"/>
  <c r="G247" i="9" s="1"/>
  <c r="G504" i="1" s="1"/>
  <c r="N248" i="9"/>
  <c r="F28" i="9"/>
  <c r="G238" i="1" s="1"/>
  <c r="N29" i="9"/>
  <c r="F216" i="9"/>
  <c r="G216" i="9" s="1"/>
  <c r="G473" i="1" s="1"/>
  <c r="N217" i="9"/>
  <c r="F20" i="9"/>
  <c r="G230" i="1" s="1"/>
  <c r="N21" i="9"/>
  <c r="F228" i="9"/>
  <c r="G228" i="9" s="1"/>
  <c r="G485" i="1" s="1"/>
  <c r="N229" i="9"/>
  <c r="F6" i="9"/>
  <c r="G216" i="1" s="1"/>
  <c r="N7" i="9"/>
  <c r="F198" i="9"/>
  <c r="G198" i="9" s="1"/>
  <c r="G455" i="1" s="1"/>
  <c r="N199" i="9"/>
  <c r="F333" i="9"/>
  <c r="G333" i="9" s="1"/>
  <c r="G583" i="1" s="1"/>
  <c r="N334" i="9"/>
  <c r="F13" i="9"/>
  <c r="G223" i="1" s="1"/>
  <c r="N14" i="9"/>
  <c r="F159" i="9"/>
  <c r="G159" i="9" s="1"/>
  <c r="G416" i="1" s="1"/>
  <c r="N160" i="9"/>
  <c r="N167" i="9" s="1"/>
  <c r="F268" i="9"/>
  <c r="G268" i="9" s="1"/>
  <c r="G518" i="1" s="1"/>
  <c r="N269" i="9"/>
  <c r="F100" i="9"/>
  <c r="G100" i="9" s="1"/>
  <c r="G312" i="1" s="1"/>
  <c r="N101" i="9"/>
  <c r="Q23" i="8"/>
  <c r="Q9" i="8"/>
  <c r="Q64" i="8"/>
  <c r="Q46" i="8"/>
  <c r="O25" i="8"/>
  <c r="L27" i="8"/>
  <c r="L26" i="8"/>
  <c r="O26" i="8" s="1"/>
  <c r="L9" i="8"/>
  <c r="O8" i="8"/>
  <c r="O93" i="6"/>
  <c r="H94" i="6"/>
  <c r="O94" i="6" s="1"/>
  <c r="N131" i="9" l="1"/>
  <c r="F130" i="9"/>
  <c r="G130" i="9" s="1"/>
  <c r="G387" i="1" s="1"/>
  <c r="L86" i="3"/>
  <c r="E87" i="3"/>
  <c r="L87" i="3" s="1"/>
  <c r="E97" i="3"/>
  <c r="L97" i="3" s="1"/>
  <c r="L96" i="3"/>
  <c r="F36" i="7"/>
  <c r="M35" i="7"/>
  <c r="F120" i="7"/>
  <c r="M120" i="7" s="1"/>
  <c r="M119" i="7"/>
  <c r="O68" i="7"/>
  <c r="O79" i="7"/>
  <c r="F48" i="7"/>
  <c r="M47" i="7"/>
  <c r="M80" i="7"/>
  <c r="F81" i="7"/>
  <c r="M105" i="7"/>
  <c r="F106" i="7"/>
  <c r="F59" i="7"/>
  <c r="M58" i="7"/>
  <c r="F129" i="7"/>
  <c r="M128" i="7"/>
  <c r="M20" i="7"/>
  <c r="F21" i="7"/>
  <c r="F155" i="7"/>
  <c r="M154" i="7"/>
  <c r="M140" i="7"/>
  <c r="F141" i="7"/>
  <c r="F23" i="2"/>
  <c r="F24" i="2" s="1"/>
  <c r="M22" i="2"/>
  <c r="F75" i="17"/>
  <c r="M74" i="17"/>
  <c r="M51" i="17"/>
  <c r="F52" i="17"/>
  <c r="O27" i="16"/>
  <c r="L28" i="16"/>
  <c r="Q64" i="16"/>
  <c r="Q46" i="16"/>
  <c r="Q10" i="16"/>
  <c r="Q24" i="16"/>
  <c r="O9" i="16"/>
  <c r="L10" i="16"/>
  <c r="L24" i="13"/>
  <c r="R24" i="13" s="1"/>
  <c r="E25" i="13"/>
  <c r="F269" i="9"/>
  <c r="G269" i="9" s="1"/>
  <c r="G519" i="1" s="1"/>
  <c r="N270" i="9"/>
  <c r="N22" i="9"/>
  <c r="F22" i="9" s="1"/>
  <c r="G232" i="1" s="1"/>
  <c r="F21" i="9"/>
  <c r="G231" i="1" s="1"/>
  <c r="F160" i="9"/>
  <c r="G160" i="9" s="1"/>
  <c r="G417" i="1" s="1"/>
  <c r="N161" i="9"/>
  <c r="N168" i="9" s="1"/>
  <c r="F217" i="9"/>
  <c r="G217" i="9" s="1"/>
  <c r="G474" i="1" s="1"/>
  <c r="N218" i="9"/>
  <c r="F199" i="9"/>
  <c r="G199" i="9" s="1"/>
  <c r="G456" i="1" s="1"/>
  <c r="N200" i="9"/>
  <c r="N15" i="9"/>
  <c r="F15" i="9" s="1"/>
  <c r="G225" i="1" s="1"/>
  <c r="F14" i="9"/>
  <c r="G224" i="1" s="1"/>
  <c r="N8" i="9"/>
  <c r="F8" i="9" s="1"/>
  <c r="G218" i="1" s="1"/>
  <c r="F7" i="9"/>
  <c r="G217" i="1" s="1"/>
  <c r="F29" i="9"/>
  <c r="G239" i="1" s="1"/>
  <c r="N31" i="9"/>
  <c r="N102" i="9"/>
  <c r="F101" i="9"/>
  <c r="G101" i="9" s="1"/>
  <c r="G313" i="1" s="1"/>
  <c r="F334" i="9"/>
  <c r="G334" i="9" s="1"/>
  <c r="G584" i="1" s="1"/>
  <c r="N335" i="9"/>
  <c r="N230" i="9"/>
  <c r="F229" i="9"/>
  <c r="G229" i="9" s="1"/>
  <c r="G486" i="1" s="1"/>
  <c r="N250" i="9"/>
  <c r="F248" i="9"/>
  <c r="G248" i="9" s="1"/>
  <c r="G505" i="1" s="1"/>
  <c r="O9" i="8"/>
  <c r="L10" i="8"/>
  <c r="Q10" i="8"/>
  <c r="Q24" i="8"/>
  <c r="L28" i="8"/>
  <c r="O27" i="8"/>
  <c r="Q47" i="8"/>
  <c r="Q65" i="8"/>
  <c r="N132" i="9" l="1"/>
  <c r="F131" i="9"/>
  <c r="G131" i="9" s="1"/>
  <c r="G388" i="1" s="1"/>
  <c r="F142" i="7"/>
  <c r="M141" i="7"/>
  <c r="F130" i="7"/>
  <c r="M129" i="7"/>
  <c r="M59" i="7"/>
  <c r="F60" i="7"/>
  <c r="O80" i="7"/>
  <c r="O69" i="7"/>
  <c r="M36" i="7"/>
  <c r="F37" i="7"/>
  <c r="M37" i="7" s="1"/>
  <c r="F49" i="7"/>
  <c r="M49" i="7" s="1"/>
  <c r="M48" i="7"/>
  <c r="F156" i="7"/>
  <c r="M155" i="7"/>
  <c r="F107" i="7"/>
  <c r="M106" i="7"/>
  <c r="F22" i="7"/>
  <c r="M21" i="7"/>
  <c r="F82" i="7"/>
  <c r="M81" i="7"/>
  <c r="F25" i="2"/>
  <c r="M24" i="2"/>
  <c r="F53" i="17"/>
  <c r="M52" i="17"/>
  <c r="M75" i="17"/>
  <c r="F76" i="17"/>
  <c r="L29" i="16"/>
  <c r="O29" i="16" s="1"/>
  <c r="L31" i="16"/>
  <c r="O31" i="16" s="1"/>
  <c r="O28" i="16"/>
  <c r="Q25" i="16"/>
  <c r="Q11" i="16"/>
  <c r="L11" i="16"/>
  <c r="O11" i="16" s="1"/>
  <c r="O10" i="16"/>
  <c r="L12" i="16"/>
  <c r="Q47" i="16"/>
  <c r="Q65" i="16"/>
  <c r="L25" i="13"/>
  <c r="R25" i="13" s="1"/>
  <c r="E26" i="13"/>
  <c r="F200" i="9"/>
  <c r="G200" i="9" s="1"/>
  <c r="G457" i="1" s="1"/>
  <c r="N201" i="9"/>
  <c r="F218" i="9"/>
  <c r="G218" i="9" s="1"/>
  <c r="G475" i="1" s="1"/>
  <c r="N219" i="9"/>
  <c r="F219" i="9" s="1"/>
  <c r="G219" i="9" s="1"/>
  <c r="G476" i="1" s="1"/>
  <c r="F230" i="9"/>
  <c r="G230" i="9" s="1"/>
  <c r="G487" i="1" s="1"/>
  <c r="N231" i="9"/>
  <c r="F270" i="9"/>
  <c r="G270" i="9" s="1"/>
  <c r="G520" i="1" s="1"/>
  <c r="N271" i="9"/>
  <c r="F335" i="9"/>
  <c r="G335" i="9" s="1"/>
  <c r="G585" i="1" s="1"/>
  <c r="N337" i="9"/>
  <c r="N162" i="9"/>
  <c r="N169" i="9" s="1"/>
  <c r="F161" i="9"/>
  <c r="G161" i="9" s="1"/>
  <c r="G418" i="1" s="1"/>
  <c r="F31" i="9"/>
  <c r="G241" i="1" s="1"/>
  <c r="N32" i="9"/>
  <c r="F250" i="9"/>
  <c r="G250" i="9" s="1"/>
  <c r="G507" i="1" s="1"/>
  <c r="N251" i="9"/>
  <c r="F102" i="9"/>
  <c r="G102" i="9" s="1"/>
  <c r="G314" i="1" s="1"/>
  <c r="N103" i="9"/>
  <c r="Q66" i="8"/>
  <c r="Q48" i="8"/>
  <c r="L29" i="8"/>
  <c r="O29" i="8" s="1"/>
  <c r="L31" i="8"/>
  <c r="O31" i="8" s="1"/>
  <c r="O28" i="8"/>
  <c r="Q25" i="8"/>
  <c r="Q11" i="8"/>
  <c r="L11" i="8"/>
  <c r="O11" i="8" s="1"/>
  <c r="O10" i="8"/>
  <c r="L12" i="8"/>
  <c r="N133" i="9" l="1"/>
  <c r="N134" i="9" s="1"/>
  <c r="N135" i="9" s="1"/>
  <c r="N136" i="9" s="1"/>
  <c r="F132" i="9"/>
  <c r="G132" i="9" s="1"/>
  <c r="G389" i="1" s="1"/>
  <c r="F61" i="7"/>
  <c r="M61" i="7" s="1"/>
  <c r="M60" i="7"/>
  <c r="O81" i="7"/>
  <c r="O70" i="7"/>
  <c r="F108" i="7"/>
  <c r="M107" i="7"/>
  <c r="F157" i="7"/>
  <c r="M157" i="7" s="1"/>
  <c r="M156" i="7"/>
  <c r="M82" i="7"/>
  <c r="F83" i="7"/>
  <c r="M130" i="7"/>
  <c r="F131" i="7"/>
  <c r="M22" i="7"/>
  <c r="F23" i="7"/>
  <c r="F143" i="7"/>
  <c r="M142" i="7"/>
  <c r="F26" i="2"/>
  <c r="M26" i="2" s="1"/>
  <c r="M25" i="2"/>
  <c r="F77" i="17"/>
  <c r="M77" i="17" s="1"/>
  <c r="M76" i="17"/>
  <c r="F54" i="17"/>
  <c r="M53" i="17"/>
  <c r="Q66" i="16"/>
  <c r="Q48" i="16"/>
  <c r="L13" i="16"/>
  <c r="O12" i="16"/>
  <c r="Q26" i="16"/>
  <c r="Q12" i="16"/>
  <c r="E27" i="13"/>
  <c r="L26" i="13"/>
  <c r="R26" i="13" s="1"/>
  <c r="F162" i="9"/>
  <c r="G162" i="9" s="1"/>
  <c r="G419" i="1" s="1"/>
  <c r="N163" i="9"/>
  <c r="N170" i="9" s="1"/>
  <c r="F201" i="9"/>
  <c r="G201" i="9" s="1"/>
  <c r="G458" i="1" s="1"/>
  <c r="N202" i="9"/>
  <c r="F271" i="9"/>
  <c r="G271" i="9" s="1"/>
  <c r="G521" i="1" s="1"/>
  <c r="N272" i="9"/>
  <c r="N104" i="9"/>
  <c r="F103" i="9"/>
  <c r="G103" i="9" s="1"/>
  <c r="G315" i="1" s="1"/>
  <c r="F32" i="9"/>
  <c r="G242" i="1" s="1"/>
  <c r="N33" i="9"/>
  <c r="N232" i="9"/>
  <c r="F231" i="9"/>
  <c r="G231" i="9" s="1"/>
  <c r="G488" i="1" s="1"/>
  <c r="F337" i="9"/>
  <c r="G337" i="9" s="1"/>
  <c r="G587" i="1" s="1"/>
  <c r="N338" i="9"/>
  <c r="N252" i="9"/>
  <c r="F251" i="9"/>
  <c r="G251" i="9" s="1"/>
  <c r="G508" i="1" s="1"/>
  <c r="Q26" i="8"/>
  <c r="Q12" i="8"/>
  <c r="L13" i="8"/>
  <c r="O12" i="8"/>
  <c r="Q67" i="8"/>
  <c r="Q49" i="8"/>
  <c r="F144" i="7" l="1"/>
  <c r="M144" i="7" s="1"/>
  <c r="M143" i="7"/>
  <c r="O71" i="7"/>
  <c r="O82" i="7"/>
  <c r="F24" i="7"/>
  <c r="M24" i="7" s="1"/>
  <c r="M23" i="7"/>
  <c r="M108" i="7"/>
  <c r="F109" i="7"/>
  <c r="F132" i="7"/>
  <c r="M132" i="7" s="1"/>
  <c r="M131" i="7"/>
  <c r="F84" i="7"/>
  <c r="M83" i="7"/>
  <c r="M54" i="17"/>
  <c r="F55" i="17"/>
  <c r="Q49" i="16"/>
  <c r="Q67" i="16"/>
  <c r="Q27" i="16"/>
  <c r="Q13" i="16"/>
  <c r="L14" i="16"/>
  <c r="O14" i="16" s="1"/>
  <c r="O13" i="16"/>
  <c r="E28" i="13"/>
  <c r="L28" i="13" s="1"/>
  <c r="R28" i="13" s="1"/>
  <c r="L27" i="13"/>
  <c r="R27" i="13" s="1"/>
  <c r="F232" i="9"/>
  <c r="G232" i="9" s="1"/>
  <c r="G489" i="1" s="1"/>
  <c r="N233" i="9"/>
  <c r="F252" i="9"/>
  <c r="G252" i="9" s="1"/>
  <c r="G509" i="1" s="1"/>
  <c r="N253" i="9"/>
  <c r="F104" i="9"/>
  <c r="G104" i="9" s="1"/>
  <c r="G316" i="1" s="1"/>
  <c r="N105" i="9"/>
  <c r="F338" i="9"/>
  <c r="G338" i="9" s="1"/>
  <c r="G588" i="1" s="1"/>
  <c r="N339" i="9"/>
  <c r="F272" i="9"/>
  <c r="G272" i="9" s="1"/>
  <c r="G522" i="1" s="1"/>
  <c r="N273" i="9"/>
  <c r="F202" i="9"/>
  <c r="G202" i="9" s="1"/>
  <c r="G459" i="1" s="1"/>
  <c r="N204" i="9"/>
  <c r="F33" i="9"/>
  <c r="G243" i="1" s="1"/>
  <c r="N34" i="9"/>
  <c r="F163" i="9"/>
  <c r="G163" i="9" s="1"/>
  <c r="G420" i="1" s="1"/>
  <c r="Q68" i="8"/>
  <c r="Q50" i="8"/>
  <c r="Q27" i="8"/>
  <c r="Q13" i="8"/>
  <c r="L14" i="8"/>
  <c r="O14" i="8" s="1"/>
  <c r="O13" i="8"/>
  <c r="F110" i="7" l="1"/>
  <c r="M110" i="7" s="1"/>
  <c r="M109" i="7"/>
  <c r="F85" i="7"/>
  <c r="M85" i="7" s="1"/>
  <c r="M84" i="7"/>
  <c r="O72" i="7"/>
  <c r="O84" i="7" s="1"/>
  <c r="O83" i="7"/>
  <c r="F56" i="17"/>
  <c r="M55" i="17"/>
  <c r="Q14" i="16"/>
  <c r="Q29" i="16" s="1"/>
  <c r="Q28" i="16"/>
  <c r="Q68" i="16"/>
  <c r="Q50" i="16"/>
  <c r="F273" i="9"/>
  <c r="G273" i="9" s="1"/>
  <c r="G523" i="1" s="1"/>
  <c r="N274" i="9"/>
  <c r="F170" i="9"/>
  <c r="G170" i="9" s="1"/>
  <c r="G427" i="1" s="1"/>
  <c r="N171" i="9"/>
  <c r="F34" i="9"/>
  <c r="G244" i="1" s="1"/>
  <c r="N35" i="9"/>
  <c r="N235" i="9"/>
  <c r="F233" i="9"/>
  <c r="G233" i="9" s="1"/>
  <c r="G490" i="1" s="1"/>
  <c r="F339" i="9"/>
  <c r="G339" i="9" s="1"/>
  <c r="G589" i="1" s="1"/>
  <c r="N340" i="9"/>
  <c r="N106" i="9"/>
  <c r="F105" i="9"/>
  <c r="G105" i="9" s="1"/>
  <c r="G317" i="1" s="1"/>
  <c r="F204" i="9"/>
  <c r="G204" i="9" s="1"/>
  <c r="G461" i="1" s="1"/>
  <c r="N205" i="9"/>
  <c r="N254" i="9"/>
  <c r="F253" i="9"/>
  <c r="G253" i="9" s="1"/>
  <c r="G510" i="1" s="1"/>
  <c r="Q28" i="8"/>
  <c r="Q14" i="8"/>
  <c r="Q29" i="8" s="1"/>
  <c r="Q51" i="8"/>
  <c r="Q69" i="8"/>
  <c r="F57" i="17" l="1"/>
  <c r="M57" i="17" s="1"/>
  <c r="M56" i="17"/>
  <c r="Q51" i="16"/>
  <c r="Q69" i="16"/>
  <c r="F106" i="9"/>
  <c r="G106" i="9" s="1"/>
  <c r="G318" i="1" s="1"/>
  <c r="N107" i="9"/>
  <c r="F340" i="9"/>
  <c r="G340" i="9" s="1"/>
  <c r="G590" i="1" s="1"/>
  <c r="N341" i="9"/>
  <c r="F274" i="9"/>
  <c r="G274" i="9" s="1"/>
  <c r="G524" i="1" s="1"/>
  <c r="N275" i="9"/>
  <c r="F254" i="9"/>
  <c r="G254" i="9" s="1"/>
  <c r="G511" i="1" s="1"/>
  <c r="N255" i="9"/>
  <c r="F235" i="9"/>
  <c r="G235" i="9" s="1"/>
  <c r="G492" i="1" s="1"/>
  <c r="N236" i="9"/>
  <c r="F35" i="9"/>
  <c r="G245" i="1" s="1"/>
  <c r="N36" i="9"/>
  <c r="F205" i="9"/>
  <c r="G205" i="9" s="1"/>
  <c r="G462" i="1" s="1"/>
  <c r="N206" i="9"/>
  <c r="F171" i="9"/>
  <c r="G171" i="9" s="1"/>
  <c r="G428" i="1" s="1"/>
  <c r="N172" i="9"/>
  <c r="Q70" i="8"/>
  <c r="Q52" i="8"/>
  <c r="Q70" i="16" l="1"/>
  <c r="Q52" i="16"/>
  <c r="N257" i="9"/>
  <c r="F255" i="9"/>
  <c r="G255" i="9" s="1"/>
  <c r="G512" i="1" s="1"/>
  <c r="F206" i="9"/>
  <c r="G206" i="9" s="1"/>
  <c r="G463" i="1" s="1"/>
  <c r="N207" i="9"/>
  <c r="F36" i="9"/>
  <c r="G246" i="1" s="1"/>
  <c r="N38" i="9"/>
  <c r="F172" i="9"/>
  <c r="G172" i="9" s="1"/>
  <c r="G429" i="1" s="1"/>
  <c r="N173" i="9"/>
  <c r="F275" i="9"/>
  <c r="G275" i="9" s="1"/>
  <c r="G525" i="1" s="1"/>
  <c r="N276" i="9"/>
  <c r="F341" i="9"/>
  <c r="G341" i="9" s="1"/>
  <c r="G591" i="1" s="1"/>
  <c r="N342" i="9"/>
  <c r="N237" i="9"/>
  <c r="F236" i="9"/>
  <c r="G236" i="9" s="1"/>
  <c r="G493" i="1" s="1"/>
  <c r="N108" i="9"/>
  <c r="F107" i="9"/>
  <c r="G107" i="9" s="1"/>
  <c r="G319" i="1" s="1"/>
  <c r="F257" i="9" l="1"/>
  <c r="G257" i="9" s="1"/>
  <c r="N258" i="9"/>
  <c r="F108" i="9"/>
  <c r="G108" i="9" s="1"/>
  <c r="G320" i="1" s="1"/>
  <c r="N109" i="9"/>
  <c r="F237" i="9"/>
  <c r="G237" i="9" s="1"/>
  <c r="G494" i="1" s="1"/>
  <c r="N238" i="9"/>
  <c r="F173" i="9"/>
  <c r="G173" i="9" s="1"/>
  <c r="G430" i="1" s="1"/>
  <c r="N174" i="9"/>
  <c r="F38" i="9"/>
  <c r="N39" i="9"/>
  <c r="F342" i="9"/>
  <c r="G342" i="9" s="1"/>
  <c r="G592" i="1" s="1"/>
  <c r="N343" i="9"/>
  <c r="F207" i="9"/>
  <c r="G207" i="9" s="1"/>
  <c r="G464" i="1" s="1"/>
  <c r="N208" i="9"/>
  <c r="F276" i="9"/>
  <c r="G276" i="9" s="1"/>
  <c r="G526" i="1" s="1"/>
  <c r="N277" i="9"/>
  <c r="G38" i="9" l="1"/>
  <c r="G248" i="1"/>
  <c r="F277" i="9"/>
  <c r="G277" i="9" s="1"/>
  <c r="G527" i="1" s="1"/>
  <c r="N278" i="9"/>
  <c r="F174" i="9"/>
  <c r="G174" i="9" s="1"/>
  <c r="G431" i="1" s="1"/>
  <c r="N175" i="9"/>
  <c r="F208" i="9"/>
  <c r="G208" i="9" s="1"/>
  <c r="G465" i="1" s="1"/>
  <c r="N209" i="9"/>
  <c r="N239" i="9"/>
  <c r="F238" i="9"/>
  <c r="G238" i="9" s="1"/>
  <c r="G495" i="1" s="1"/>
  <c r="F343" i="9"/>
  <c r="G343" i="9" s="1"/>
  <c r="G593" i="1" s="1"/>
  <c r="N344" i="9"/>
  <c r="N110" i="9"/>
  <c r="F109" i="9"/>
  <c r="G109" i="9" s="1"/>
  <c r="G321" i="1" s="1"/>
  <c r="F39" i="9"/>
  <c r="N40" i="9"/>
  <c r="N259" i="9"/>
  <c r="F258" i="9"/>
  <c r="G258" i="9" s="1"/>
  <c r="G39" i="9" l="1"/>
  <c r="G249" i="1"/>
  <c r="F239" i="9"/>
  <c r="G239" i="9" s="1"/>
  <c r="G496" i="1" s="1"/>
  <c r="N240" i="9"/>
  <c r="F259" i="9"/>
  <c r="G259" i="9" s="1"/>
  <c r="N260" i="9"/>
  <c r="F40" i="9"/>
  <c r="N41" i="9"/>
  <c r="F209" i="9"/>
  <c r="G209" i="9" s="1"/>
  <c r="G466" i="1" s="1"/>
  <c r="N210" i="9"/>
  <c r="N176" i="9"/>
  <c r="F175" i="9"/>
  <c r="G175" i="9" s="1"/>
  <c r="G432" i="1" s="1"/>
  <c r="F110" i="9"/>
  <c r="G110" i="9" s="1"/>
  <c r="G322" i="1" s="1"/>
  <c r="N112" i="9"/>
  <c r="F344" i="9"/>
  <c r="G344" i="9" s="1"/>
  <c r="G594" i="1" s="1"/>
  <c r="N345" i="9"/>
  <c r="F345" i="9" s="1"/>
  <c r="G345" i="9" s="1"/>
  <c r="G595" i="1" s="1"/>
  <c r="F278" i="9"/>
  <c r="G278" i="9" s="1"/>
  <c r="G528" i="1" s="1"/>
  <c r="N279" i="9"/>
  <c r="G40" i="9" l="1"/>
  <c r="G250" i="1"/>
  <c r="F210" i="9"/>
  <c r="G210" i="9" s="1"/>
  <c r="G467" i="1" s="1"/>
  <c r="N211" i="9"/>
  <c r="F211" i="9" s="1"/>
  <c r="G211" i="9" s="1"/>
  <c r="G468" i="1" s="1"/>
  <c r="F41" i="9"/>
  <c r="N42" i="9"/>
  <c r="N280" i="9"/>
  <c r="F279" i="9"/>
  <c r="G279" i="9" s="1"/>
  <c r="G529" i="1" s="1"/>
  <c r="N113" i="9"/>
  <c r="F112" i="9"/>
  <c r="G112" i="9" s="1"/>
  <c r="G369" i="1" s="1"/>
  <c r="N261" i="9"/>
  <c r="F260" i="9"/>
  <c r="G260" i="9" s="1"/>
  <c r="N241" i="9"/>
  <c r="F241" i="9" s="1"/>
  <c r="G241" i="9" s="1"/>
  <c r="G498" i="1" s="1"/>
  <c r="F240" i="9"/>
  <c r="G240" i="9" s="1"/>
  <c r="G497" i="1" s="1"/>
  <c r="F176" i="9"/>
  <c r="G176" i="9" s="1"/>
  <c r="G433" i="1" s="1"/>
  <c r="N177" i="9"/>
  <c r="G41" i="9" l="1"/>
  <c r="G251" i="1"/>
  <c r="F113" i="9"/>
  <c r="G113" i="9" s="1"/>
  <c r="G370" i="1" s="1"/>
  <c r="N114" i="9"/>
  <c r="F261" i="9"/>
  <c r="G261" i="9" s="1"/>
  <c r="N262" i="9"/>
  <c r="F262" i="9" s="1"/>
  <c r="G262" i="9" s="1"/>
  <c r="F177" i="9"/>
  <c r="G177" i="9" s="1"/>
  <c r="G434" i="1" s="1"/>
  <c r="N178" i="9"/>
  <c r="F280" i="9"/>
  <c r="G280" i="9" s="1"/>
  <c r="G530" i="1" s="1"/>
  <c r="N282" i="9"/>
  <c r="F42" i="9"/>
  <c r="N43" i="9"/>
  <c r="G42" i="9" l="1"/>
  <c r="G252" i="1"/>
  <c r="F43" i="9"/>
  <c r="N44" i="9"/>
  <c r="F282" i="9"/>
  <c r="G282" i="9" s="1"/>
  <c r="G532" i="1" s="1"/>
  <c r="N283" i="9"/>
  <c r="N115" i="9"/>
  <c r="F114" i="9"/>
  <c r="G114" i="9" s="1"/>
  <c r="G371" i="1" s="1"/>
  <c r="F178" i="9"/>
  <c r="G178" i="9" s="1"/>
  <c r="G435" i="1" s="1"/>
  <c r="N179" i="9"/>
  <c r="G43" i="9" l="1"/>
  <c r="G253" i="1"/>
  <c r="F44" i="9"/>
  <c r="N45" i="9"/>
  <c r="F179" i="9"/>
  <c r="G179" i="9" s="1"/>
  <c r="G436" i="1" s="1"/>
  <c r="N181" i="9"/>
  <c r="F181" i="9" s="1"/>
  <c r="G181" i="9" s="1"/>
  <c r="G438" i="1" s="1"/>
  <c r="F115" i="9"/>
  <c r="G115" i="9" s="1"/>
  <c r="G372" i="1" s="1"/>
  <c r="N116" i="9"/>
  <c r="N284" i="9"/>
  <c r="F283" i="9"/>
  <c r="G283" i="9" s="1"/>
  <c r="G533" i="1" s="1"/>
  <c r="F284" i="9"/>
  <c r="G284" i="9" s="1"/>
  <c r="G534" i="1" s="1"/>
  <c r="G44" i="9" l="1"/>
  <c r="G254" i="1"/>
  <c r="F45" i="9"/>
  <c r="N46" i="9"/>
  <c r="N285" i="9"/>
  <c r="F285" i="9"/>
  <c r="G285" i="9" s="1"/>
  <c r="G535" i="1" s="1"/>
  <c r="N117" i="9"/>
  <c r="F116" i="9"/>
  <c r="G116" i="9" s="1"/>
  <c r="G373" i="1" s="1"/>
  <c r="G45" i="9" l="1"/>
  <c r="G255" i="1"/>
  <c r="N118" i="9"/>
  <c r="F117" i="9"/>
  <c r="G117" i="9" s="1"/>
  <c r="G374" i="1" s="1"/>
  <c r="N286" i="9"/>
  <c r="N287" i="9" s="1"/>
  <c r="F286" i="9"/>
  <c r="G286" i="9" s="1"/>
  <c r="G536" i="1" s="1"/>
  <c r="F46" i="9"/>
  <c r="N47" i="9"/>
  <c r="G46" i="9" l="1"/>
  <c r="G256" i="1"/>
  <c r="F47" i="9"/>
  <c r="N48" i="9"/>
  <c r="F287" i="9"/>
  <c r="G287" i="9" s="1"/>
  <c r="G537" i="1" s="1"/>
  <c r="N289" i="9"/>
  <c r="F118" i="9"/>
  <c r="G118" i="9" s="1"/>
  <c r="G375" i="1" s="1"/>
  <c r="N119" i="9"/>
  <c r="G47" i="9" l="1"/>
  <c r="G257" i="1"/>
  <c r="F119" i="9"/>
  <c r="G119" i="9" s="1"/>
  <c r="G376" i="1" s="1"/>
  <c r="N120" i="9"/>
  <c r="N290" i="9"/>
  <c r="F289" i="9"/>
  <c r="G289" i="9" s="1"/>
  <c r="G539" i="1" s="1"/>
  <c r="F48" i="9"/>
  <c r="N49" i="9"/>
  <c r="G48" i="9" l="1"/>
  <c r="G258" i="1"/>
  <c r="N51" i="9"/>
  <c r="F49" i="9"/>
  <c r="F290" i="9"/>
  <c r="G290" i="9" s="1"/>
  <c r="G540" i="1" s="1"/>
  <c r="N291" i="9"/>
  <c r="F120" i="9"/>
  <c r="G120" i="9" s="1"/>
  <c r="G377" i="1" s="1"/>
  <c r="N121" i="9"/>
  <c r="G49" i="9" l="1"/>
  <c r="G259" i="1"/>
  <c r="F121" i="9"/>
  <c r="G121" i="9" s="1"/>
  <c r="G378" i="1" s="1"/>
  <c r="N122" i="9"/>
  <c r="F291" i="9"/>
  <c r="G291" i="9" s="1"/>
  <c r="G541" i="1" s="1"/>
  <c r="F292" i="9"/>
  <c r="G292" i="9" s="1"/>
  <c r="G542" i="1" s="1"/>
  <c r="N292" i="9"/>
  <c r="N293" i="9" s="1"/>
  <c r="F51" i="9"/>
  <c r="N52" i="9"/>
  <c r="G51" i="9" l="1"/>
  <c r="G261" i="1"/>
  <c r="N53" i="9"/>
  <c r="F52" i="9"/>
  <c r="N294" i="9"/>
  <c r="F293" i="9"/>
  <c r="G293" i="9" s="1"/>
  <c r="G543" i="1" s="1"/>
  <c r="F122" i="9"/>
  <c r="G122" i="9" s="1"/>
  <c r="G379" i="1" s="1"/>
  <c r="N123" i="9"/>
  <c r="G52" i="9" l="1"/>
  <c r="G262" i="1"/>
  <c r="N138" i="9"/>
  <c r="F123" i="9"/>
  <c r="G123" i="9" s="1"/>
  <c r="G380" i="1" s="1"/>
  <c r="N295" i="9"/>
  <c r="F294" i="9"/>
  <c r="G294" i="9" s="1"/>
  <c r="G544" i="1" s="1"/>
  <c r="F53" i="9"/>
  <c r="N54" i="9"/>
  <c r="G53" i="9" l="1"/>
  <c r="G263" i="1"/>
  <c r="N55" i="9"/>
  <c r="F54" i="9"/>
  <c r="N296" i="9"/>
  <c r="F295" i="9"/>
  <c r="G295" i="9" s="1"/>
  <c r="G545" i="1" s="1"/>
  <c r="F138" i="9"/>
  <c r="G138" i="9" s="1"/>
  <c r="G395" i="1" s="1"/>
  <c r="N139" i="9"/>
  <c r="G54" i="9" l="1"/>
  <c r="G264" i="1"/>
  <c r="N140" i="9"/>
  <c r="F139" i="9"/>
  <c r="G139" i="9" s="1"/>
  <c r="G396" i="1" s="1"/>
  <c r="F296" i="9"/>
  <c r="G296" i="9" s="1"/>
  <c r="G546" i="1" s="1"/>
  <c r="N297" i="9"/>
  <c r="F55" i="9"/>
  <c r="N56" i="9"/>
  <c r="G55" i="9" l="1"/>
  <c r="G265" i="1"/>
  <c r="N57" i="9"/>
  <c r="F56" i="9"/>
  <c r="N298" i="9"/>
  <c r="F297" i="9"/>
  <c r="G297" i="9" s="1"/>
  <c r="G547" i="1" s="1"/>
  <c r="F140" i="9"/>
  <c r="G140" i="9" s="1"/>
  <c r="G397" i="1" s="1"/>
  <c r="N141" i="9"/>
  <c r="G56" i="9" l="1"/>
  <c r="G266" i="1"/>
  <c r="N142" i="9"/>
  <c r="F141" i="9"/>
  <c r="G141" i="9" s="1"/>
  <c r="G398" i="1" s="1"/>
  <c r="F298" i="9"/>
  <c r="G298" i="9" s="1"/>
  <c r="G548" i="1" s="1"/>
  <c r="N299" i="9"/>
  <c r="F57" i="9"/>
  <c r="N58" i="9"/>
  <c r="G57" i="9" l="1"/>
  <c r="G267" i="1"/>
  <c r="N59" i="9"/>
  <c r="F58" i="9"/>
  <c r="F299" i="9"/>
  <c r="G299" i="9" s="1"/>
  <c r="G549" i="1" s="1"/>
  <c r="N300" i="9"/>
  <c r="F142" i="9"/>
  <c r="G142" i="9" s="1"/>
  <c r="G399" i="1" s="1"/>
  <c r="N143" i="9"/>
  <c r="G58" i="9" l="1"/>
  <c r="G268" i="1"/>
  <c r="N144" i="9"/>
  <c r="F143" i="9"/>
  <c r="G143" i="9" s="1"/>
  <c r="G400" i="1" s="1"/>
  <c r="N301" i="9"/>
  <c r="F300" i="9"/>
  <c r="G300" i="9" s="1"/>
  <c r="G550" i="1" s="1"/>
  <c r="F59" i="9"/>
  <c r="N60" i="9"/>
  <c r="N61" i="9" s="1"/>
  <c r="G59" i="9" l="1"/>
  <c r="G269" i="1"/>
  <c r="F61" i="9"/>
  <c r="N62" i="9"/>
  <c r="N302" i="9"/>
  <c r="F301" i="9"/>
  <c r="G301" i="9" s="1"/>
  <c r="G551" i="1" s="1"/>
  <c r="F144" i="9"/>
  <c r="G144" i="9" s="1"/>
  <c r="G401" i="1" s="1"/>
  <c r="N145" i="9"/>
  <c r="G61" i="9" l="1"/>
  <c r="G271" i="1"/>
  <c r="N146" i="9"/>
  <c r="F145" i="9"/>
  <c r="G145" i="9" s="1"/>
  <c r="G402" i="1" s="1"/>
  <c r="N303" i="9"/>
  <c r="F302" i="9"/>
  <c r="G302" i="9" s="1"/>
  <c r="G552" i="1" s="1"/>
  <c r="N64" i="9"/>
  <c r="F62" i="9"/>
  <c r="G62" i="9" l="1"/>
  <c r="G272" i="1"/>
  <c r="F64" i="9"/>
  <c r="N65" i="9"/>
  <c r="N304" i="9"/>
  <c r="F303" i="9"/>
  <c r="G303" i="9" s="1"/>
  <c r="G553" i="1" s="1"/>
  <c r="F146" i="9"/>
  <c r="G146" i="9" s="1"/>
  <c r="G403" i="1" s="1"/>
  <c r="N147" i="9"/>
  <c r="G64" i="9" l="1"/>
  <c r="G281" i="1"/>
  <c r="N148" i="9"/>
  <c r="F147" i="9"/>
  <c r="G147" i="9" s="1"/>
  <c r="G404" i="1" s="1"/>
  <c r="F304" i="9"/>
  <c r="G304" i="9" s="1"/>
  <c r="G554" i="1" s="1"/>
  <c r="N306" i="9"/>
  <c r="N66" i="9"/>
  <c r="F65" i="9"/>
  <c r="G65" i="9" l="1"/>
  <c r="G282" i="1"/>
  <c r="F66" i="9"/>
  <c r="N67" i="9"/>
  <c r="F306" i="9"/>
  <c r="G306" i="9" s="1"/>
  <c r="G556" i="1" s="1"/>
  <c r="N307" i="9"/>
  <c r="F148" i="9"/>
  <c r="G148" i="9" s="1"/>
  <c r="G405" i="1" s="1"/>
  <c r="N149" i="9"/>
  <c r="G66" i="9" l="1"/>
  <c r="G283" i="1"/>
  <c r="N150" i="9"/>
  <c r="F149" i="9"/>
  <c r="G149" i="9" s="1"/>
  <c r="G406" i="1" s="1"/>
  <c r="N308" i="9"/>
  <c r="F307" i="9"/>
  <c r="G307" i="9" s="1"/>
  <c r="G557" i="1" s="1"/>
  <c r="N68" i="9"/>
  <c r="F67" i="9"/>
  <c r="G67" i="9" l="1"/>
  <c r="G284" i="1"/>
  <c r="F68" i="9"/>
  <c r="N69" i="9"/>
  <c r="F308" i="9"/>
  <c r="G308" i="9" s="1"/>
  <c r="G558" i="1" s="1"/>
  <c r="N309" i="9"/>
  <c r="F150" i="9"/>
  <c r="G150" i="9" s="1"/>
  <c r="G407" i="1" s="1"/>
  <c r="N151" i="9"/>
  <c r="G68" i="9" l="1"/>
  <c r="G285" i="1"/>
  <c r="N152" i="9"/>
  <c r="F151" i="9"/>
  <c r="G151" i="9" s="1"/>
  <c r="G408" i="1" s="1"/>
  <c r="F309" i="9"/>
  <c r="G309" i="9" s="1"/>
  <c r="G559" i="1" s="1"/>
  <c r="N310" i="9"/>
  <c r="N70" i="9"/>
  <c r="F69" i="9"/>
  <c r="G69" i="9" l="1"/>
  <c r="G286" i="1"/>
  <c r="F71" i="9"/>
  <c r="G71" i="9" s="1"/>
  <c r="F70" i="9"/>
  <c r="G70" i="9" s="1"/>
  <c r="N71" i="9"/>
  <c r="N72" i="9" s="1"/>
  <c r="F310" i="9"/>
  <c r="G310" i="9" s="1"/>
  <c r="G560" i="1" s="1"/>
  <c r="N311" i="9"/>
  <c r="F152" i="9"/>
  <c r="G152" i="9" s="1"/>
  <c r="G409" i="1" s="1"/>
  <c r="N153" i="9"/>
  <c r="F153" i="9" s="1"/>
  <c r="G153" i="9" s="1"/>
  <c r="G410" i="1" s="1"/>
  <c r="F311" i="9" l="1"/>
  <c r="G311" i="9" s="1"/>
  <c r="G561" i="1" s="1"/>
  <c r="N313" i="9"/>
  <c r="F72" i="9"/>
  <c r="N73" i="9"/>
  <c r="G72" i="9" l="1"/>
  <c r="G287" i="1"/>
  <c r="N74" i="9"/>
  <c r="F73" i="9"/>
  <c r="F313" i="9"/>
  <c r="G313" i="9" s="1"/>
  <c r="G563" i="1" s="1"/>
  <c r="N314" i="9"/>
  <c r="G73" i="9" l="1"/>
  <c r="G288" i="1"/>
  <c r="F314" i="9"/>
  <c r="G314" i="9" s="1"/>
  <c r="G564" i="1" s="1"/>
  <c r="N315" i="9"/>
  <c r="F74" i="9"/>
  <c r="N75" i="9"/>
  <c r="G74" i="9" l="1"/>
  <c r="G289" i="1"/>
  <c r="N76" i="9"/>
  <c r="F75" i="9"/>
  <c r="F315" i="9"/>
  <c r="G315" i="9" s="1"/>
  <c r="G565" i="1" s="1"/>
  <c r="N316" i="9"/>
  <c r="G75" i="9" l="1"/>
  <c r="G290" i="1"/>
  <c r="F316" i="9"/>
  <c r="G316" i="9" s="1"/>
  <c r="G566" i="1" s="1"/>
  <c r="N317" i="9"/>
  <c r="F76" i="9"/>
  <c r="N77" i="9"/>
  <c r="G76" i="9" l="1"/>
  <c r="G291" i="1"/>
  <c r="N78" i="9"/>
  <c r="F77" i="9"/>
  <c r="F317" i="9"/>
  <c r="G317" i="9" s="1"/>
  <c r="G567" i="1" s="1"/>
  <c r="N318" i="9"/>
  <c r="G77" i="9" l="1"/>
  <c r="G292" i="1"/>
  <c r="F318" i="9"/>
  <c r="G318" i="9" s="1"/>
  <c r="G568" i="1" s="1"/>
  <c r="N319" i="9"/>
  <c r="F78" i="9"/>
  <c r="N79" i="9"/>
  <c r="G78" i="9" l="1"/>
  <c r="G293" i="1"/>
  <c r="F79" i="9"/>
  <c r="G79" i="9" s="1"/>
  <c r="N80" i="9"/>
  <c r="F80" i="9" s="1"/>
  <c r="G80" i="9" s="1"/>
  <c r="F319" i="9"/>
  <c r="G319" i="9" s="1"/>
  <c r="G569" i="1" s="1"/>
  <c r="N320" i="9"/>
  <c r="F320" i="9" l="1"/>
  <c r="G320" i="9" s="1"/>
  <c r="G570" i="1" s="1"/>
  <c r="N321" i="9"/>
  <c r="F321" i="9" l="1"/>
  <c r="G321" i="9" s="1"/>
  <c r="G571" i="1" s="1"/>
  <c r="N322" i="9"/>
  <c r="F322" i="9" l="1"/>
  <c r="G322" i="9" s="1"/>
  <c r="G572" i="1" s="1"/>
  <c r="N323" i="9"/>
  <c r="F323" i="9" l="1"/>
  <c r="G323" i="9" s="1"/>
  <c r="G573" i="1" s="1"/>
  <c r="N324" i="9"/>
  <c r="F324" i="9" l="1"/>
  <c r="G324" i="9" s="1"/>
  <c r="G574" i="1" s="1"/>
  <c r="N325" i="9"/>
  <c r="F325" i="9" l="1"/>
  <c r="G325" i="9" s="1"/>
  <c r="G575" i="1" s="1"/>
  <c r="N326" i="9"/>
  <c r="F326" i="9" l="1"/>
  <c r="G326" i="9" s="1"/>
  <c r="G576" i="1" s="1"/>
  <c r="N327" i="9"/>
  <c r="F327" i="9" l="1"/>
  <c r="G327" i="9" s="1"/>
  <c r="G577" i="1" s="1"/>
  <c r="N328" i="9"/>
  <c r="F328" i="9" s="1"/>
  <c r="G328" i="9" s="1"/>
  <c r="G5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Ewelina Karbowniak</author>
  </authors>
  <commentList>
    <comment ref="D127" authorId="0" shapeId="0" xr:uid="{7DF24EA1-4816-418D-BBF7-129E4299C474}">
      <text>
        <r>
          <rPr>
            <b/>
            <sz val="9"/>
            <color indexed="81"/>
            <rFont val="Tahoma"/>
            <family val="2"/>
            <charset val="238"/>
          </rPr>
          <t>Ewelina Karbowniak:</t>
        </r>
        <r>
          <rPr>
            <sz val="9"/>
            <color indexed="81"/>
            <rFont val="Tahoma"/>
            <family val="2"/>
            <charset val="238"/>
          </rPr>
          <t xml:space="preserve">
materiał</t>
        </r>
      </text>
    </comment>
    <comment ref="D250" authorId="0" shapeId="0" xr:uid="{CE54B3BF-CF66-4396-83D6-563E6A72B510}">
      <text>
        <r>
          <rPr>
            <b/>
            <sz val="9"/>
            <color indexed="81"/>
            <rFont val="Tahoma"/>
            <family val="2"/>
            <charset val="238"/>
          </rPr>
          <t>materiał</t>
        </r>
      </text>
    </comment>
  </commentList>
</comments>
</file>

<file path=xl/sharedStrings.xml><?xml version="1.0" encoding="utf-8"?>
<sst xmlns="http://schemas.openxmlformats.org/spreadsheetml/2006/main" count="18650" uniqueCount="1420">
  <si>
    <t>Kategorie instalacji</t>
  </si>
  <si>
    <t>Filtr asortymentu</t>
  </si>
  <si>
    <t>Średnica DN</t>
  </si>
  <si>
    <t>Średnica zewn.</t>
  </si>
  <si>
    <t>Średnica cale</t>
  </si>
  <si>
    <t>JM</t>
  </si>
  <si>
    <t>Cena jednostkowa Materiał [PLN]</t>
  </si>
  <si>
    <t>Producent</t>
  </si>
  <si>
    <t>Typ</t>
  </si>
  <si>
    <t>Cena jednostkowa Robocizna [PLN]</t>
  </si>
  <si>
    <t>Uwagi</t>
  </si>
  <si>
    <t>Kody budżetowe</t>
  </si>
  <si>
    <t>WDK, GCH, SPR, SKR, KTŁ</t>
  </si>
  <si>
    <t>rura PP</t>
  </si>
  <si>
    <t>Kantherm</t>
  </si>
  <si>
    <t>PN20</t>
  </si>
  <si>
    <t> </t>
  </si>
  <si>
    <t>śr. 16, 15</t>
  </si>
  <si>
    <t>3/8</t>
  </si>
  <si>
    <t>m</t>
  </si>
  <si>
    <t>040190 Rurociągi z tworzywa sztucznego</t>
  </si>
  <si>
    <t>śr. 20</t>
  </si>
  <si>
    <t>1/2</t>
  </si>
  <si>
    <t>śr. 25</t>
  </si>
  <si>
    <t>3/4</t>
  </si>
  <si>
    <t>śr. 32</t>
  </si>
  <si>
    <t>1</t>
  </si>
  <si>
    <t>śr. 40</t>
  </si>
  <si>
    <t>1 1/4</t>
  </si>
  <si>
    <t>śr. 50</t>
  </si>
  <si>
    <t>1 1/2</t>
  </si>
  <si>
    <t>śr. 63, 54</t>
  </si>
  <si>
    <t>2</t>
  </si>
  <si>
    <t>śr. 75, 76, 66,7</t>
  </si>
  <si>
    <t>2 1/2</t>
  </si>
  <si>
    <t>śr. 90, 89, 84</t>
  </si>
  <si>
    <t>3</t>
  </si>
  <si>
    <t>śr. 110, 108, 104, 114</t>
  </si>
  <si>
    <t>4</t>
  </si>
  <si>
    <t>rura PP Stabi</t>
  </si>
  <si>
    <t>Trinnity</t>
  </si>
  <si>
    <t>PN16</t>
  </si>
  <si>
    <t>Wavin</t>
  </si>
  <si>
    <t>WDK, GCH, HDR, SKR, KTŁ</t>
  </si>
  <si>
    <t>rura ocynk gwint</t>
  </si>
  <si>
    <t>Tasta</t>
  </si>
  <si>
    <t>040200 Rurociągi stalowe</t>
  </si>
  <si>
    <t>dn 15</t>
  </si>
  <si>
    <t>śr. 21,3</t>
  </si>
  <si>
    <t>dn 20</t>
  </si>
  <si>
    <t>śr. 26,9</t>
  </si>
  <si>
    <t>dn 25</t>
  </si>
  <si>
    <t>śr. 33,7</t>
  </si>
  <si>
    <t>dn 32</t>
  </si>
  <si>
    <t>śr. 42,4</t>
  </si>
  <si>
    <t>dn 40</t>
  </si>
  <si>
    <t>śr. 54</t>
  </si>
  <si>
    <t>dn 50</t>
  </si>
  <si>
    <t>śr. 60,3,  63, 54</t>
  </si>
  <si>
    <t>dn 65</t>
  </si>
  <si>
    <t>dn 80</t>
  </si>
  <si>
    <t>śr. 88,9</t>
  </si>
  <si>
    <t>dn 100</t>
  </si>
  <si>
    <t>dn 125</t>
  </si>
  <si>
    <t>śr. 133</t>
  </si>
  <si>
    <t>5</t>
  </si>
  <si>
    <t>dn 150</t>
  </si>
  <si>
    <t>śr. 159</t>
  </si>
  <si>
    <t>6</t>
  </si>
  <si>
    <t>bez szwu</t>
  </si>
  <si>
    <t>WDK, GCH, SPR, HDR, KTŁ</t>
  </si>
  <si>
    <t>rura ocynk rowk</t>
  </si>
  <si>
    <t>dn200</t>
  </si>
  <si>
    <t>śr. 219,1</t>
  </si>
  <si>
    <t>8</t>
  </si>
  <si>
    <t>wysokociśnieniowe</t>
  </si>
  <si>
    <t>WDK, GCH, SPR, HDR, SKR, KTŁ</t>
  </si>
  <si>
    <t>rura nierdz zacisk</t>
  </si>
  <si>
    <t>dn 12</t>
  </si>
  <si>
    <t>śr. 15</t>
  </si>
  <si>
    <t>śr. 18</t>
  </si>
  <si>
    <t>śr. 22</t>
  </si>
  <si>
    <t>śr. 28</t>
  </si>
  <si>
    <t>śr. 35</t>
  </si>
  <si>
    <t>śr. 42</t>
  </si>
  <si>
    <t>śr. 168</t>
  </si>
  <si>
    <t>uchwyt stal nierdz</t>
  </si>
  <si>
    <t>Sprinkler</t>
  </si>
  <si>
    <t>Geberit</t>
  </si>
  <si>
    <t>Sanha</t>
  </si>
  <si>
    <t>Nirosan - woda pitna</t>
  </si>
  <si>
    <t>NiroTherm - gch</t>
  </si>
  <si>
    <t>Viega</t>
  </si>
  <si>
    <t>rura ocynk zacisk</t>
  </si>
  <si>
    <t>dn 10</t>
  </si>
  <si>
    <t>śr. 66,7</t>
  </si>
  <si>
    <t>śr. 75, 76, 76.1</t>
  </si>
  <si>
    <t>WDK, GCH, SPR, GAZ, PARA, HDR, KTŁ</t>
  </si>
  <si>
    <t>zawór odcinający</t>
  </si>
  <si>
    <t>śr. 20, 18</t>
  </si>
  <si>
    <t>szt.</t>
  </si>
  <si>
    <t xml:space="preserve">Valvex </t>
  </si>
  <si>
    <t>Onyx</t>
  </si>
  <si>
    <t>040180 Armatura</t>
  </si>
  <si>
    <t>śr. 25, 22</t>
  </si>
  <si>
    <t>śr. 32, 28</t>
  </si>
  <si>
    <t>śr. 40, 35</t>
  </si>
  <si>
    <t>śr. 50, 42</t>
  </si>
  <si>
    <t xml:space="preserve">Oventrop </t>
  </si>
  <si>
    <t xml:space="preserve">Optibal </t>
  </si>
  <si>
    <t xml:space="preserve">IMI </t>
  </si>
  <si>
    <t xml:space="preserve">Globo </t>
  </si>
  <si>
    <t>zawór odcinający nierdzew</t>
  </si>
  <si>
    <t xml:space="preserve">Socla </t>
  </si>
  <si>
    <t>X3777 nierdzewny</t>
  </si>
  <si>
    <t>X1666 nierdzewny</t>
  </si>
  <si>
    <t>zawór antysk</t>
  </si>
  <si>
    <t>BA</t>
  </si>
  <si>
    <t>WDK, KTŁ, HDR</t>
  </si>
  <si>
    <t>BA 4760</t>
  </si>
  <si>
    <t>śr. 160</t>
  </si>
  <si>
    <t>dn 200</t>
  </si>
  <si>
    <t>dn 250</t>
  </si>
  <si>
    <t>EA</t>
  </si>
  <si>
    <t>EA 251</t>
  </si>
  <si>
    <t>EA 453</t>
  </si>
  <si>
    <t>WDK, GCH, HDR, KTŁ</t>
  </si>
  <si>
    <t>Efar</t>
  </si>
  <si>
    <t>WDK,  GCH, SPR, PARA, HDR, KTŁ</t>
  </si>
  <si>
    <t>filtr gwint</t>
  </si>
  <si>
    <t>EFAR</t>
  </si>
  <si>
    <t>Y222P</t>
  </si>
  <si>
    <t>filtr kołnierz</t>
  </si>
  <si>
    <t>Y333P</t>
  </si>
  <si>
    <t>WDK, KTŁ</t>
  </si>
  <si>
    <t>zawór cyrkulacyjny</t>
  </si>
  <si>
    <t xml:space="preserve">Danfoss </t>
  </si>
  <si>
    <t>MTCV-B</t>
  </si>
  <si>
    <t>IMI</t>
  </si>
  <si>
    <t xml:space="preserve">TA-Therm nr kat. </t>
  </si>
  <si>
    <t>zawór kątowy</t>
  </si>
  <si>
    <t>dn10/15</t>
  </si>
  <si>
    <t>Angle Plus</t>
  </si>
  <si>
    <t>WDK, GCH, KTŁ</t>
  </si>
  <si>
    <t>zawór czerpalny</t>
  </si>
  <si>
    <t>Oligo, Socla HA216</t>
  </si>
  <si>
    <t xml:space="preserve">Schell </t>
  </si>
  <si>
    <t>zawór mrozoodporny</t>
  </si>
  <si>
    <t>POLAR II</t>
  </si>
  <si>
    <t>zawór zwrotny gwint</t>
  </si>
  <si>
    <t>śr. 20, 18, 15</t>
  </si>
  <si>
    <t>601 gwint</t>
  </si>
  <si>
    <t>zawór zwrotny kołnierz</t>
  </si>
  <si>
    <t>402 kołnierzowy</t>
  </si>
  <si>
    <t>śr. 200</t>
  </si>
  <si>
    <t>śr. 250</t>
  </si>
  <si>
    <t>dn 300</t>
  </si>
  <si>
    <t>śr. 300</t>
  </si>
  <si>
    <t>dn 350</t>
  </si>
  <si>
    <t>śr. 350</t>
  </si>
  <si>
    <t>WDK, GCH, PARA, KTŁ</t>
  </si>
  <si>
    <t xml:space="preserve">zawór 2-dr </t>
  </si>
  <si>
    <t xml:space="preserve">zawór 3-dr </t>
  </si>
  <si>
    <t>CV 316 RGA</t>
  </si>
  <si>
    <t>CV 316 GG</t>
  </si>
  <si>
    <t>CV 316</t>
  </si>
  <si>
    <t>siłownik</t>
  </si>
  <si>
    <t>zawór 3-dr + siłownik</t>
  </si>
  <si>
    <t>śr.133, 129</t>
  </si>
  <si>
    <t>śr.159, 154</t>
  </si>
  <si>
    <t>śr.216,204</t>
  </si>
  <si>
    <t>śr.267,254</t>
  </si>
  <si>
    <t>śr.318, 304</t>
  </si>
  <si>
    <t>przepustnica</t>
  </si>
  <si>
    <t>Uranie</t>
  </si>
  <si>
    <t>śr.368, 354</t>
  </si>
  <si>
    <t>dn 400</t>
  </si>
  <si>
    <t>śr. 419</t>
  </si>
  <si>
    <t>dn 500</t>
  </si>
  <si>
    <t>śr. 521</t>
  </si>
  <si>
    <t>przepustnica nierdzewna</t>
  </si>
  <si>
    <t>Nierdzewna</t>
  </si>
  <si>
    <t>łącznik</t>
  </si>
  <si>
    <t>ZKT</t>
  </si>
  <si>
    <t>ZKB</t>
  </si>
  <si>
    <t>śr. 14, 12</t>
  </si>
  <si>
    <t>Zetkama</t>
  </si>
  <si>
    <t>Fig. 823</t>
  </si>
  <si>
    <t>Fig. 821 kołnierz</t>
  </si>
  <si>
    <t>Fig. 497</t>
  </si>
  <si>
    <t>dn 600</t>
  </si>
  <si>
    <t>śr. 622</t>
  </si>
  <si>
    <t>zawór zwrotny płytk</t>
  </si>
  <si>
    <t>Fig. 275 płytkowy</t>
  </si>
  <si>
    <t>Fig. 287 kołnierzowy</t>
  </si>
  <si>
    <t>WDK, GCH, GAZ, KTŁ</t>
  </si>
  <si>
    <t>gaz</t>
  </si>
  <si>
    <t>zawór odc kołnierzowy</t>
  </si>
  <si>
    <t>nierdzewny</t>
  </si>
  <si>
    <t>zawór równoważący</t>
  </si>
  <si>
    <t>STAD</t>
  </si>
  <si>
    <t>STAF</t>
  </si>
  <si>
    <t>STAF-SG</t>
  </si>
  <si>
    <t>WDK,  GCH, PARA, KTŁ</t>
  </si>
  <si>
    <t>zawór regulacyjny + siłownik</t>
  </si>
  <si>
    <t>TA-COMPACT-P</t>
  </si>
  <si>
    <t>dn 15 LF</t>
  </si>
  <si>
    <t>TA-MODULATOR</t>
  </si>
  <si>
    <t xml:space="preserve">dn 100 </t>
  </si>
  <si>
    <t>dn 100 HF</t>
  </si>
  <si>
    <t>śr.108, 104</t>
  </si>
  <si>
    <t>dn 125 HF</t>
  </si>
  <si>
    <t>dn 150 HF</t>
  </si>
  <si>
    <t>dn 200 HF</t>
  </si>
  <si>
    <t>dn 200 NF</t>
  </si>
  <si>
    <t>zawór regulacyjny</t>
  </si>
  <si>
    <t xml:space="preserve">zawór regulacyjny </t>
  </si>
  <si>
    <t>WDK,  GCH, PARA, HDR; KTŁ</t>
  </si>
  <si>
    <t>regulator</t>
  </si>
  <si>
    <t>7 BIS</t>
  </si>
  <si>
    <t>10 BIS</t>
  </si>
  <si>
    <t>WDK, GCH, SPR, GAZ, PARA, HDR, SKR, KTŁ</t>
  </si>
  <si>
    <t>rura czarna b/szwu</t>
  </si>
  <si>
    <t>maszynownia</t>
  </si>
  <si>
    <t>kotłowe</t>
  </si>
  <si>
    <t>grubościenne</t>
  </si>
  <si>
    <t>rura czarna ze/szwem</t>
  </si>
  <si>
    <t>rura czarna b/szwu rowk</t>
  </si>
  <si>
    <t>GCH, SPR, HDR, KTŁ</t>
  </si>
  <si>
    <t>VICTUALIC</t>
  </si>
  <si>
    <t>rura czarna z/szwem rowk</t>
  </si>
  <si>
    <t>WDK, GCH, SPR, PARA, SKR, KTŁ</t>
  </si>
  <si>
    <t>rura nierdz spawana z/sz</t>
  </si>
  <si>
    <t>21,3x2,0</t>
  </si>
  <si>
    <t>26,9x2,0</t>
  </si>
  <si>
    <t>33,7x2,0</t>
  </si>
  <si>
    <t>42,4x2,0</t>
  </si>
  <si>
    <t>48,3x2,0</t>
  </si>
  <si>
    <t>60,3x2,0</t>
  </si>
  <si>
    <t>76,1x2,0</t>
  </si>
  <si>
    <t>88,9x2,0</t>
  </si>
  <si>
    <t>114,3x2,0</t>
  </si>
  <si>
    <t>139,7x2,0</t>
  </si>
  <si>
    <t>168,2x2,0</t>
  </si>
  <si>
    <t>219,1x2,0</t>
  </si>
  <si>
    <t>273,2x2,0</t>
  </si>
  <si>
    <t>323,9x3,0</t>
  </si>
  <si>
    <t>355,6x3,0</t>
  </si>
  <si>
    <t>406,4x3,0</t>
  </si>
  <si>
    <t>508,0x3,0</t>
  </si>
  <si>
    <t>608/610x4,0</t>
  </si>
  <si>
    <t>304 grubościenna</t>
  </si>
  <si>
    <t>76,1x 2,00</t>
  </si>
  <si>
    <t>88,9x 3,05</t>
  </si>
  <si>
    <t>114,3x 3,05</t>
  </si>
  <si>
    <t>168,3x 4,50</t>
  </si>
  <si>
    <t>219,1x 6,3</t>
  </si>
  <si>
    <t>273 x12,7</t>
  </si>
  <si>
    <t>rura nierdz spawana</t>
  </si>
  <si>
    <t>rura nierdz spawana b/sz</t>
  </si>
  <si>
    <t>60,3x4,5</t>
  </si>
  <si>
    <t>76,1x 4,00</t>
  </si>
  <si>
    <t>88,9x 4,50</t>
  </si>
  <si>
    <t>114,3x 4,00</t>
  </si>
  <si>
    <t>139,7x 4,00</t>
  </si>
  <si>
    <t>28x1,5</t>
  </si>
  <si>
    <t>34x1,5</t>
  </si>
  <si>
    <t>40x1,5</t>
  </si>
  <si>
    <t>53x1,5</t>
  </si>
  <si>
    <t>izolacja wełna</t>
  </si>
  <si>
    <t>śr. 20, 18, 16</t>
  </si>
  <si>
    <t>PAROC</t>
  </si>
  <si>
    <t>grzewcza</t>
  </si>
  <si>
    <t>śr. 75, 76, 66,7, 70</t>
  </si>
  <si>
    <t>izolacja kauczuk</t>
  </si>
  <si>
    <t>Armaflex</t>
  </si>
  <si>
    <t>chłodnicza</t>
  </si>
  <si>
    <t>dach</t>
  </si>
  <si>
    <t>K-flex</t>
  </si>
  <si>
    <t>izolacja pianka</t>
  </si>
  <si>
    <t>Thermaflex</t>
  </si>
  <si>
    <t>izolacja pianka podłoga</t>
  </si>
  <si>
    <t>dn 8</t>
  </si>
  <si>
    <t>śr. 14</t>
  </si>
  <si>
    <t>gr. 6</t>
  </si>
  <si>
    <t>śr. 16</t>
  </si>
  <si>
    <t>gr. 25 ACE Plus</t>
  </si>
  <si>
    <t>ACE Plus</t>
  </si>
  <si>
    <t>gr. 19 ACE Plus</t>
  </si>
  <si>
    <t xml:space="preserve">Armaflex </t>
  </si>
  <si>
    <t xml:space="preserve"> gr. 13 ACE Plus</t>
  </si>
  <si>
    <t>gr. 9 ACE Plus</t>
  </si>
  <si>
    <t>izolacja kauczuk podłoga</t>
  </si>
  <si>
    <t>gr. 6 ACE Plus</t>
  </si>
  <si>
    <t>gr. 13 AF</t>
  </si>
  <si>
    <t>gr. 25 Ultima</t>
  </si>
  <si>
    <t>gr. 19 Ultima</t>
  </si>
  <si>
    <t xml:space="preserve"> gr. 13 Ultima</t>
  </si>
  <si>
    <t>gr. 9 Ultima</t>
  </si>
  <si>
    <t>K-Flex</t>
  </si>
  <si>
    <t>gr. 25 K-Flex ST</t>
  </si>
  <si>
    <t>gr. 19 K-Flex ST</t>
  </si>
  <si>
    <t xml:space="preserve"> gr. 13 K-Flex ST</t>
  </si>
  <si>
    <t>gr. 9  K-Flex ST</t>
  </si>
  <si>
    <t xml:space="preserve">Thermaflex </t>
  </si>
  <si>
    <t>gr. 9 pianka</t>
  </si>
  <si>
    <t>Thermaflex Smart</t>
  </si>
  <si>
    <t xml:space="preserve"> gr. 13 pianka</t>
  </si>
  <si>
    <t>gr. 19 pianka</t>
  </si>
  <si>
    <t>gr. 25 pianka</t>
  </si>
  <si>
    <t>WDK, GCH, PARA, HDR, SKR,  KTŁ</t>
  </si>
  <si>
    <t>izolacja mata</t>
  </si>
  <si>
    <t>m2</t>
  </si>
  <si>
    <t>płaszcz ocynk</t>
  </si>
  <si>
    <t>płaszcz aluocynk</t>
  </si>
  <si>
    <t>płaszcz aluminiowy</t>
  </si>
  <si>
    <t>płaszcz nierdzewny</t>
  </si>
  <si>
    <t>płaszcz stalowy</t>
  </si>
  <si>
    <t>podejście wod</t>
  </si>
  <si>
    <t>szt</t>
  </si>
  <si>
    <t>PP</t>
  </si>
  <si>
    <t>pex</t>
  </si>
  <si>
    <t>nierdz</t>
  </si>
  <si>
    <t>podejście kan</t>
  </si>
  <si>
    <t>PVC</t>
  </si>
  <si>
    <t>śr. 100</t>
  </si>
  <si>
    <t>śr. 110</t>
  </si>
  <si>
    <t>żeliwo</t>
  </si>
  <si>
    <t xml:space="preserve">wodomierz </t>
  </si>
  <si>
    <t>wodomierz do dn 32</t>
  </si>
  <si>
    <t>wodomierz do dn 50</t>
  </si>
  <si>
    <t>wodomierz od dn 65</t>
  </si>
  <si>
    <t>podgrzewacz</t>
  </si>
  <si>
    <t>podgrzewacz do 15 litrów</t>
  </si>
  <si>
    <t>podgrzewacz do 50 litrów</t>
  </si>
  <si>
    <t>podgrzewacz od 50 litrów</t>
  </si>
  <si>
    <t>wpust</t>
  </si>
  <si>
    <t>wpust dachowy</t>
  </si>
  <si>
    <t>odwodnienie</t>
  </si>
  <si>
    <t>rewizja podłogowa</t>
  </si>
  <si>
    <t>WDK,</t>
  </si>
  <si>
    <t>wywiewka</t>
  </si>
  <si>
    <t>zawór napow-dpow.</t>
  </si>
  <si>
    <t>dn 70, dn 100</t>
  </si>
  <si>
    <t>75, 110</t>
  </si>
  <si>
    <t xml:space="preserve">czyszczak </t>
  </si>
  <si>
    <t>PP-HT</t>
  </si>
  <si>
    <t>dn 70</t>
  </si>
  <si>
    <t>Magnaplast</t>
  </si>
  <si>
    <t>75, 63</t>
  </si>
  <si>
    <t>110, 100</t>
  </si>
  <si>
    <t>rura PP-HT</t>
  </si>
  <si>
    <t>śr. 50, 63, 56</t>
  </si>
  <si>
    <t>śr. 75, 80</t>
  </si>
  <si>
    <t>śr. 100, 110, 108, 104, 114</t>
  </si>
  <si>
    <t>rura niskoszum</t>
  </si>
  <si>
    <t>Astolan</t>
  </si>
  <si>
    <t>śr. 75</t>
  </si>
  <si>
    <t>śr. 125</t>
  </si>
  <si>
    <t>Sitech</t>
  </si>
  <si>
    <t>rura PVC podposadz</t>
  </si>
  <si>
    <t>śr. 315</t>
  </si>
  <si>
    <t>śr. 135</t>
  </si>
  <si>
    <t xml:space="preserve">Magnaplast </t>
  </si>
  <si>
    <t>ultra dB</t>
  </si>
  <si>
    <t>Skolan</t>
  </si>
  <si>
    <t>Silent db20</t>
  </si>
  <si>
    <t>HDPE</t>
  </si>
  <si>
    <t>SN8</t>
  </si>
  <si>
    <t>KG2000</t>
  </si>
  <si>
    <t>śr. 400</t>
  </si>
  <si>
    <t>śr. 500</t>
  </si>
  <si>
    <t>Kaczmarek</t>
  </si>
  <si>
    <t>rura żeliw podposadz</t>
  </si>
  <si>
    <t>rura HDPE podposadz</t>
  </si>
  <si>
    <t>śr. 56, 50</t>
  </si>
  <si>
    <t>śr. 63</t>
  </si>
  <si>
    <t>śr. 90</t>
  </si>
  <si>
    <t>WDK, SKR</t>
  </si>
  <si>
    <t>rura żeliw</t>
  </si>
  <si>
    <t>rura nierdz kielich</t>
  </si>
  <si>
    <t>WDK, GCH, SKR</t>
  </si>
  <si>
    <t>rura klejone</t>
  </si>
  <si>
    <t>Nibco</t>
  </si>
  <si>
    <t>WDK, GCH, SKR, KTŁ</t>
  </si>
  <si>
    <t>rura pex</t>
  </si>
  <si>
    <t>16x2,0</t>
  </si>
  <si>
    <t>20x2,0</t>
  </si>
  <si>
    <t>25x2,0</t>
  </si>
  <si>
    <t>32x2,0</t>
  </si>
  <si>
    <t>Uponor</t>
  </si>
  <si>
    <t>rura pex bez kształtek zwój</t>
  </si>
  <si>
    <t>b/kształtek</t>
  </si>
  <si>
    <t>rura pex w izolacji cz/n (podłoga)</t>
  </si>
  <si>
    <t>14x2,0</t>
  </si>
  <si>
    <t>rura HDPE</t>
  </si>
  <si>
    <t>śr. 56</t>
  </si>
  <si>
    <t>GCH, KTŁ</t>
  </si>
  <si>
    <t>rozdzielacz stalowy</t>
  </si>
  <si>
    <t xml:space="preserve">dn 400 </t>
  </si>
  <si>
    <t>WDK, HDR</t>
  </si>
  <si>
    <t>hydrant</t>
  </si>
  <si>
    <t>zawór hydrantowy ZH 52 pojedynczy</t>
  </si>
  <si>
    <t>zawory hydrantowe ZH 52  podwójny</t>
  </si>
  <si>
    <t>badanie wydajności hydrantu</t>
  </si>
  <si>
    <t>kamerowanie</t>
  </si>
  <si>
    <t>klapa zwrotna</t>
  </si>
  <si>
    <t>roboty ziemne</t>
  </si>
  <si>
    <t>studnia</t>
  </si>
  <si>
    <t>WDK, BMO</t>
  </si>
  <si>
    <t>bateria</t>
  </si>
  <si>
    <t>bateria elektroniczna</t>
  </si>
  <si>
    <t xml:space="preserve">drążek z słuchawką </t>
  </si>
  <si>
    <t>zawór pisuar</t>
  </si>
  <si>
    <t>zawór pisuar elektr.</t>
  </si>
  <si>
    <t xml:space="preserve">umywalka </t>
  </si>
  <si>
    <t>półpostument</t>
  </si>
  <si>
    <t>umywalka + półpostument</t>
  </si>
  <si>
    <t>umywalka + półpostument + syfon</t>
  </si>
  <si>
    <t>umywalka + syfon + stelaż + bateria</t>
  </si>
  <si>
    <t>miska</t>
  </si>
  <si>
    <t>deska</t>
  </si>
  <si>
    <t>miska + deska</t>
  </si>
  <si>
    <t>miska + deska + stelaż + przycisk wc</t>
  </si>
  <si>
    <t>pisuar</t>
  </si>
  <si>
    <t>ścianki międzypisuarowe</t>
  </si>
  <si>
    <t>zlew</t>
  </si>
  <si>
    <t>zlew porządkowy</t>
  </si>
  <si>
    <t xml:space="preserve">wanna </t>
  </si>
  <si>
    <t>brodzik</t>
  </si>
  <si>
    <t>kabina</t>
  </si>
  <si>
    <t>wc kompakt stojący</t>
  </si>
  <si>
    <t>syfon</t>
  </si>
  <si>
    <t>umywalka</t>
  </si>
  <si>
    <t>wanna</t>
  </si>
  <si>
    <t>syfon skropliny</t>
  </si>
  <si>
    <t>stelaż</t>
  </si>
  <si>
    <t>przycisk WC</t>
  </si>
  <si>
    <t>stelaż + przycisk WC</t>
  </si>
  <si>
    <t>umywalka NP.</t>
  </si>
  <si>
    <t>miska NP.</t>
  </si>
  <si>
    <t>stelaż NP.</t>
  </si>
  <si>
    <t>uchwyt NP.</t>
  </si>
  <si>
    <t>stelaż do poręczy</t>
  </si>
  <si>
    <t>oczomyjka</t>
  </si>
  <si>
    <t>prysznic bezpieczeństwa</t>
  </si>
  <si>
    <t>przepompownia</t>
  </si>
  <si>
    <t>separator</t>
  </si>
  <si>
    <t>zestaw hydroforowy</t>
  </si>
  <si>
    <t>zasobnik</t>
  </si>
  <si>
    <t xml:space="preserve">pompa cyrkulacyjna </t>
  </si>
  <si>
    <t xml:space="preserve">pompa </t>
  </si>
  <si>
    <t>pompa do dn 50</t>
  </si>
  <si>
    <t>pompa do dn 100</t>
  </si>
  <si>
    <t>pompa od 125</t>
  </si>
  <si>
    <t>płyta wibroizolacyjna pod pompę</t>
  </si>
  <si>
    <t xml:space="preserve">naczynie </t>
  </si>
  <si>
    <t>naczynie do 100l</t>
  </si>
  <si>
    <t>naczynie do 500l</t>
  </si>
  <si>
    <t>naczynie od 600l</t>
  </si>
  <si>
    <t>stabilizacja ciśnienia</t>
  </si>
  <si>
    <t>WDK, GCH, SPR, PARA,  KTŁ</t>
  </si>
  <si>
    <t>zbiornik</t>
  </si>
  <si>
    <t>zbiornik do 200l</t>
  </si>
  <si>
    <t>zbiornik do 500l</t>
  </si>
  <si>
    <t>zbiornik do 2000l</t>
  </si>
  <si>
    <t>zbiornik od 2100l</t>
  </si>
  <si>
    <t>zbiornik odpowietrzający</t>
  </si>
  <si>
    <t xml:space="preserve"> GCH, KTŁ</t>
  </si>
  <si>
    <t>bufor</t>
  </si>
  <si>
    <t>bufor do 200l</t>
  </si>
  <si>
    <t>bufor do 500l</t>
  </si>
  <si>
    <t>bufor do 2000l</t>
  </si>
  <si>
    <t>bufor do 2100l</t>
  </si>
  <si>
    <t xml:space="preserve"> WDK, GCH, GAZ, KTŁ</t>
  </si>
  <si>
    <t>manometr</t>
  </si>
  <si>
    <t>termometr</t>
  </si>
  <si>
    <t>WDK,  GCH, KTŁ</t>
  </si>
  <si>
    <t>odpowietrznik</t>
  </si>
  <si>
    <t xml:space="preserve"> WDK, GCH, KTŁ</t>
  </si>
  <si>
    <t>zawór spustowy</t>
  </si>
  <si>
    <t xml:space="preserve">króćce do czujnków </t>
  </si>
  <si>
    <t xml:space="preserve">czujnik </t>
  </si>
  <si>
    <t xml:space="preserve"> GCH, KTŁ, SPR, GAZ, PARA</t>
  </si>
  <si>
    <t>licznik ciepła/chłodu</t>
  </si>
  <si>
    <t>licznik do dn50</t>
  </si>
  <si>
    <t>licznik do dn100</t>
  </si>
  <si>
    <t>licznik od dn 125</t>
  </si>
  <si>
    <t>GCH</t>
  </si>
  <si>
    <t>agregat</t>
  </si>
  <si>
    <t>agregat do 500kW</t>
  </si>
  <si>
    <t>agregat do 1000 kW</t>
  </si>
  <si>
    <t>agregat do 2000 kW</t>
  </si>
  <si>
    <t>agregat od 2100 kW</t>
  </si>
  <si>
    <t>wieża chłodnicza</t>
  </si>
  <si>
    <t>wieża do 500kW</t>
  </si>
  <si>
    <t>wieża do 1000 kW</t>
  </si>
  <si>
    <t>wieża do 2000 kW</t>
  </si>
  <si>
    <t>wieża od 2100 kW</t>
  </si>
  <si>
    <t>pompa ciepła</t>
  </si>
  <si>
    <t>pompa ciepła do 500kW</t>
  </si>
  <si>
    <t>pompa ciepła do 1000 kW</t>
  </si>
  <si>
    <t>pompa ciepła do 2000 kW</t>
  </si>
  <si>
    <t>pompa ciepła od 2100 kW</t>
  </si>
  <si>
    <t xml:space="preserve">klimakonwektor </t>
  </si>
  <si>
    <t>klimakonwektor kanałowy</t>
  </si>
  <si>
    <t>klimakonwektor kanałowy + skrzynka</t>
  </si>
  <si>
    <t>klimakonwektor podokienny</t>
  </si>
  <si>
    <t>wężyk</t>
  </si>
  <si>
    <t>sterownik</t>
  </si>
  <si>
    <t>pompka skroplin</t>
  </si>
  <si>
    <t>skrzynka do klimakon.</t>
  </si>
  <si>
    <t>kpl</t>
  </si>
  <si>
    <t xml:space="preserve">kurtyna </t>
  </si>
  <si>
    <t>kurtyna do 1000</t>
  </si>
  <si>
    <t>kurtyna do 2000</t>
  </si>
  <si>
    <t>kurtyna od 2100</t>
  </si>
  <si>
    <t>aparat grzewczo-wentylacyjny</t>
  </si>
  <si>
    <t xml:space="preserve">wymiennik </t>
  </si>
  <si>
    <t>pompa ciepła do cwu</t>
  </si>
  <si>
    <t>split</t>
  </si>
  <si>
    <t>VRV</t>
  </si>
  <si>
    <t>agregat skraplający</t>
  </si>
  <si>
    <t>szafa klimatyzacji CRAH</t>
  </si>
  <si>
    <t>szafa klimatyzacji INROW</t>
  </si>
  <si>
    <t>szafa klimatyzacji freon</t>
  </si>
  <si>
    <t xml:space="preserve">grzejnik </t>
  </si>
  <si>
    <t>grzejnik do 1500</t>
  </si>
  <si>
    <t>grzejnik od 1600</t>
  </si>
  <si>
    <t>grzejnik łazienkowy</t>
  </si>
  <si>
    <t>grzejnik kanałowy</t>
  </si>
  <si>
    <t>głowica</t>
  </si>
  <si>
    <t>rozdzielacz co</t>
  </si>
  <si>
    <t>rozdzielacz do 5 ob.</t>
  </si>
  <si>
    <t>rozdzielacz od 6 ob.</t>
  </si>
  <si>
    <t>szafka co</t>
  </si>
  <si>
    <t>rozdzielacz + szafka co</t>
  </si>
  <si>
    <t>grzejnik elektryczny</t>
  </si>
  <si>
    <t>WDK, GCH, HDR, SKR</t>
  </si>
  <si>
    <t>kabel grzewczy</t>
  </si>
  <si>
    <t>kabel długie odcniki</t>
  </si>
  <si>
    <t>kabel krótkie odcinki</t>
  </si>
  <si>
    <t>ogrzewanie podłogowe</t>
  </si>
  <si>
    <t>glikol propylenowy</t>
  </si>
  <si>
    <t>m3</t>
  </si>
  <si>
    <t>glikol etylenowy</t>
  </si>
  <si>
    <t xml:space="preserve">węzełek do aparatu </t>
  </si>
  <si>
    <t>kpl.</t>
  </si>
  <si>
    <t xml:space="preserve">węzełek do centrali </t>
  </si>
  <si>
    <t>węzełek do DN100</t>
  </si>
  <si>
    <t>węzełek od DN125</t>
  </si>
  <si>
    <t>nagrzewnica kanałowa</t>
  </si>
  <si>
    <t>nagrzewnica do 315 mm</t>
  </si>
  <si>
    <t>nagrzewnica od 315 mm</t>
  </si>
  <si>
    <t>nagrzewnica obw. do 3000 mm</t>
  </si>
  <si>
    <t>nagrzewnica obw. od 3000 do 5000</t>
  </si>
  <si>
    <t>nagrzewnica obw. od. 5000</t>
  </si>
  <si>
    <t>chłodnica kanałowa</t>
  </si>
  <si>
    <t>chłodnica do 315 mm</t>
  </si>
  <si>
    <t>chłodnica od 315 mm</t>
  </si>
  <si>
    <t>chłodnica obw. do 3000 mm</t>
  </si>
  <si>
    <t>chłodnica obw. od 3000 do 5000</t>
  </si>
  <si>
    <t>chłodnica obw. od. 5000</t>
  </si>
  <si>
    <t>separator powietrza</t>
  </si>
  <si>
    <t>separator powietrza do dn 50</t>
  </si>
  <si>
    <t>separator powietrza do dn 100</t>
  </si>
  <si>
    <t>zawór bezpieczeństwa</t>
  </si>
  <si>
    <t>zawór grzejnikowy</t>
  </si>
  <si>
    <t>Danfoss</t>
  </si>
  <si>
    <t>RLV 15</t>
  </si>
  <si>
    <t xml:space="preserve">RA-N 15 </t>
  </si>
  <si>
    <t>RLV-KB</t>
  </si>
  <si>
    <t xml:space="preserve">WDK, GCH, SPR,  PARA, HDR,  KTŁ, </t>
  </si>
  <si>
    <t>stacja uzdatniania</t>
  </si>
  <si>
    <t>pluvia</t>
  </si>
  <si>
    <t>GAZ, KTŁ</t>
  </si>
  <si>
    <t>stacja redukcyjna gazowa</t>
  </si>
  <si>
    <t>skrzynka gazowa</t>
  </si>
  <si>
    <t>GCH, SPR</t>
  </si>
  <si>
    <t>sprężarka</t>
  </si>
  <si>
    <t>GCH, KTŁ, GAZ</t>
  </si>
  <si>
    <t>kocioł gazowy</t>
  </si>
  <si>
    <t>kocioł elektryczny</t>
  </si>
  <si>
    <t>kocioł olejowy</t>
  </si>
  <si>
    <t>palnik</t>
  </si>
  <si>
    <t>WDK, GCH, SPR, GAZ, PARA, HDR, SKR, KTŁ, BMO</t>
  </si>
  <si>
    <t>automatyka</t>
  </si>
  <si>
    <t>detekcja gazu</t>
  </si>
  <si>
    <t>regulacja</t>
  </si>
  <si>
    <t>wózki</t>
  </si>
  <si>
    <t>dźwig</t>
  </si>
  <si>
    <t>przejścia p.poż</t>
  </si>
  <si>
    <t>izolacja uchwytów</t>
  </si>
  <si>
    <t xml:space="preserve">WDK, GCH, SPR, GAZ, PARA, HDR, SKR, KTŁ, </t>
  </si>
  <si>
    <t>podpory</t>
  </si>
  <si>
    <t>okablowanie</t>
  </si>
  <si>
    <t>WDK, GCH, GAZ, HDR, SKR, KTŁ</t>
  </si>
  <si>
    <t>przejście szczelne</t>
  </si>
  <si>
    <t>armatura inne</t>
  </si>
  <si>
    <t>konstrukcje</t>
  </si>
  <si>
    <t>próba</t>
  </si>
  <si>
    <t>płukanie</t>
  </si>
  <si>
    <t>odmulacz</t>
  </si>
  <si>
    <t>sprzęgło</t>
  </si>
  <si>
    <t>właz</t>
  </si>
  <si>
    <t>rura osłonowa</t>
  </si>
  <si>
    <t>komin</t>
  </si>
  <si>
    <t>inne</t>
  </si>
  <si>
    <t>Kan-Therm - 17.02.2025</t>
  </si>
  <si>
    <t>SYSTEM KAN-therm ultraLINE - Rura PERTAL - sztanga</t>
  </si>
  <si>
    <t>PE-RT/AL./PE-RT</t>
  </si>
  <si>
    <t>wsk.</t>
  </si>
  <si>
    <t>cena rury</t>
  </si>
  <si>
    <t>rabat</t>
  </si>
  <si>
    <t>cena trójnik</t>
  </si>
  <si>
    <t>cena kolano</t>
  </si>
  <si>
    <t>uchwyt</t>
  </si>
  <si>
    <t>wartość</t>
  </si>
  <si>
    <t>→</t>
  </si>
  <si>
    <t>Stosować również do PEX</t>
  </si>
  <si>
    <t>Kantherm PERTAL - sztanga system Press/Press LBP</t>
  </si>
  <si>
    <t>Wavin Tigris Alupex -  19.03.2025 r.</t>
  </si>
  <si>
    <t>sztangi</t>
  </si>
  <si>
    <t>PE-X/AL./PE</t>
  </si>
  <si>
    <t>Cennik  01.01.2025r. Uponor MLC rura biała</t>
  </si>
  <si>
    <t>Podłogówka - bez kształtek</t>
  </si>
  <si>
    <t>rura PeERTAL ultraLINE w izolacji czerw/ nieb 6 mm</t>
  </si>
  <si>
    <t>rura pex + izolacja (podłoga)</t>
  </si>
  <si>
    <t>Cena jednostkowa Materiał KOSZTY
[PLN]</t>
  </si>
  <si>
    <t>czyszczak PVC</t>
  </si>
  <si>
    <t>Kanalizacja wewnętrzna niskoszumowa HT PP</t>
  </si>
  <si>
    <t>PPHT fi 32</t>
  </si>
  <si>
    <t>PPHT fi 40</t>
  </si>
  <si>
    <t>REWIZJA PP HT</t>
  </si>
  <si>
    <t>REWIZJA Ultra dB</t>
  </si>
  <si>
    <t>REWIZJA Skolan Safe dBEM</t>
  </si>
  <si>
    <t>REWIZJA PVC KGEM</t>
  </si>
  <si>
    <t>PPHT fi 50</t>
  </si>
  <si>
    <t>Czyszczak fi 50</t>
  </si>
  <si>
    <t>PPHT fi 75</t>
  </si>
  <si>
    <t>Czyszczak fi 75</t>
  </si>
  <si>
    <t>PPHT fi 110</t>
  </si>
  <si>
    <t xml:space="preserve">Czyszczak fi 110 </t>
  </si>
  <si>
    <t>PPHT fi 125</t>
  </si>
  <si>
    <t>Czyszczak fi 125</t>
  </si>
  <si>
    <t>PPHT fi 160</t>
  </si>
  <si>
    <t xml:space="preserve">Czyszczak fi 160 </t>
  </si>
  <si>
    <t>Czyszczak fi 200</t>
  </si>
  <si>
    <t>Czyszczak fi 250</t>
  </si>
  <si>
    <t>Kanalizacja wewnętrzna niskoszumowa Ultra dB</t>
  </si>
  <si>
    <t>Ultra dB fi 50</t>
  </si>
  <si>
    <t>Wywiewka</t>
  </si>
  <si>
    <t>Ultra dB fi 75</t>
  </si>
  <si>
    <t>zawór napowietrzający 50</t>
  </si>
  <si>
    <t>Ultra dB fi 110</t>
  </si>
  <si>
    <t>zawór napowietrzający 75</t>
  </si>
  <si>
    <t>Ultra dB fi 125</t>
  </si>
  <si>
    <t>zawór napowietrzający 110</t>
  </si>
  <si>
    <t>Ultra dB fi 160</t>
  </si>
  <si>
    <t>Ultra dB fi 200</t>
  </si>
  <si>
    <t>Kanalizacja wewnętrzna niskoszumowa Skolan Safe dBEM</t>
  </si>
  <si>
    <t>Skolan Safe fi 50</t>
  </si>
  <si>
    <t>Skolan Safe fi 75</t>
  </si>
  <si>
    <t>Skolan Safe fi 110</t>
  </si>
  <si>
    <t>Skolan Safe fi 125</t>
  </si>
  <si>
    <t>Skolan Safe fi 160</t>
  </si>
  <si>
    <t>Skolan Safe fi 200</t>
  </si>
  <si>
    <r>
      <t>Rury z kielichem - SN8 LITA, SDR34, klasa C (klasa S),</t>
    </r>
    <r>
      <rPr>
        <b/>
        <sz val="11"/>
        <color indexed="10"/>
        <rFont val="Calibri"/>
        <family val="2"/>
        <charset val="238"/>
      </rPr>
      <t xml:space="preserve"> LITA</t>
    </r>
  </si>
  <si>
    <t>KGEL 110x3,2</t>
  </si>
  <si>
    <t>KGEL 160x4,7</t>
  </si>
  <si>
    <t>KGEL 200x5,9</t>
  </si>
  <si>
    <t>KGEL 250x7,3</t>
  </si>
  <si>
    <t>KGEL 315x9,2</t>
  </si>
  <si>
    <t>KGEM 400x11,7</t>
  </si>
  <si>
    <t>KGEM 500x14,6</t>
  </si>
  <si>
    <r>
      <t>Rury z kielichem - SN8, SDR34, klasa C (klasa S),</t>
    </r>
    <r>
      <rPr>
        <b/>
        <sz val="11"/>
        <color indexed="10"/>
        <rFont val="Calibri"/>
        <family val="2"/>
        <charset val="238"/>
      </rPr>
      <t xml:space="preserve"> RDZEŃ SPIENIONY</t>
    </r>
  </si>
  <si>
    <t>KGEM 110x3,2</t>
  </si>
  <si>
    <t>KGEM 160x4,7</t>
  </si>
  <si>
    <t>KGEM 200x5,9</t>
  </si>
  <si>
    <t>KGEM 250x7,3</t>
  </si>
  <si>
    <t>KGEM 315x9,2</t>
  </si>
  <si>
    <r>
      <t xml:space="preserve">Rury KG2000 - RURA Z KIELICHEM </t>
    </r>
    <r>
      <rPr>
        <b/>
        <sz val="11"/>
        <color indexed="10"/>
        <rFont val="Calibri"/>
        <family val="2"/>
        <charset val="238"/>
      </rPr>
      <t>SN16 LITA</t>
    </r>
  </si>
  <si>
    <t xml:space="preserve">KG2000 SN16 DN 110x4,2 </t>
  </si>
  <si>
    <t xml:space="preserve">KG2000 SN16 DN 160x6,2 </t>
  </si>
  <si>
    <t>KG2000 SN16 DN 200x7,7</t>
  </si>
  <si>
    <t xml:space="preserve">KG2000 SN16 DN 250x9,6 </t>
  </si>
  <si>
    <t xml:space="preserve">KG2000 SN16 DN 315x12,1 </t>
  </si>
  <si>
    <t xml:space="preserve">KG2000 SN16 DN 400x15,3 </t>
  </si>
  <si>
    <t>KG2000 SN16 DN 500x19,1</t>
  </si>
  <si>
    <r>
      <t xml:space="preserve">Rura PVC/PP HT - </t>
    </r>
    <r>
      <rPr>
        <b/>
        <u/>
        <sz val="11"/>
        <color indexed="10"/>
        <rFont val="Calibri"/>
        <family val="2"/>
        <charset val="238"/>
      </rPr>
      <t>NADPOSADZKA</t>
    </r>
  </si>
  <si>
    <t>CENA</t>
  </si>
  <si>
    <t>Podejścia kanalizacyjne fi 50</t>
  </si>
  <si>
    <t>Rura PP 32x1.8</t>
  </si>
  <si>
    <t>Czyszczak PVC-U kan.wew. 50 p HT</t>
  </si>
  <si>
    <t>Podejścia kanalizacyjne fi 75</t>
  </si>
  <si>
    <t>Rura PP 40x1.8</t>
  </si>
  <si>
    <t>Czyszczak PVC-U kan. wew. 75 p HT</t>
  </si>
  <si>
    <t>Podejścia kanalizacyjne fi 110</t>
  </si>
  <si>
    <t>Rura PVC-s 50x2,5</t>
  </si>
  <si>
    <t>Czyszczak PVC-U kan. wew. 110 p HT</t>
  </si>
  <si>
    <t>Rura PVC-s 75x2,5</t>
  </si>
  <si>
    <t>REWIZJA PVC-U</t>
  </si>
  <si>
    <t>Rura PVC-s 110x2,6</t>
  </si>
  <si>
    <t>Czyszczak PVC-U kan.zew.  110</t>
  </si>
  <si>
    <t>Wpust łazienkowy fi 50/75/110</t>
  </si>
  <si>
    <t>Czyszczak PVC-U kan.zew.  160</t>
  </si>
  <si>
    <t>Wpust z tworzywa w pom. technicznych</t>
  </si>
  <si>
    <t>Czyszczak PVC-U kan.zew.  200</t>
  </si>
  <si>
    <t>Wpust nierdzewny pom. technicznych</t>
  </si>
  <si>
    <t>HL310PRB</t>
  </si>
  <si>
    <r>
      <t xml:space="preserve">Rura PVC-U klasa S (SN8) SDR 34 </t>
    </r>
    <r>
      <rPr>
        <b/>
        <sz val="11"/>
        <color indexed="10"/>
        <rFont val="Calibri"/>
        <family val="2"/>
        <charset val="238"/>
      </rPr>
      <t>LITA;</t>
    </r>
    <r>
      <rPr>
        <b/>
        <sz val="11"/>
        <color indexed="8"/>
        <rFont val="Calibri"/>
        <family val="2"/>
        <charset val="238"/>
      </rPr>
      <t xml:space="preserve"> kolor Brązowy</t>
    </r>
    <r>
      <rPr>
        <b/>
        <sz val="11"/>
        <color indexed="8"/>
        <rFont val="Calibri"/>
        <family val="2"/>
        <charset val="238"/>
      </rPr>
      <t xml:space="preserve"> - </t>
    </r>
    <r>
      <rPr>
        <b/>
        <u/>
        <sz val="11"/>
        <color indexed="10"/>
        <rFont val="Calibri"/>
        <family val="2"/>
        <charset val="238"/>
      </rPr>
      <t>PODPOSADZKA</t>
    </r>
  </si>
  <si>
    <t>Czyszczak PVC-U kan.zew.  250</t>
  </si>
  <si>
    <t>Rura PVC-U  kl.S 110x3.2</t>
  </si>
  <si>
    <t>REWIZJA SITECH +</t>
  </si>
  <si>
    <t xml:space="preserve">Rura PVC-U  kl.S 160x4.7 </t>
  </si>
  <si>
    <t>SiTech+ czyszczak 50 cza</t>
  </si>
  <si>
    <t>Rura PVC-U  kl.S 200x5.9</t>
  </si>
  <si>
    <t>SiTech+ czyszczak 75 cza</t>
  </si>
  <si>
    <t>Rura PVC-U  kl.S 250x7.3</t>
  </si>
  <si>
    <t>SiTech+ czyszczak 110 cza</t>
  </si>
  <si>
    <t>Rura PVC-U  kl.S 315x9.2</t>
  </si>
  <si>
    <t>SiTech+ czyszczak 125 cza</t>
  </si>
  <si>
    <t>Rura PVC-U  kl.S 400x11.7</t>
  </si>
  <si>
    <t>SiTech+ czyszczak 160 cza</t>
  </si>
  <si>
    <t xml:space="preserve">Rura PVC-U  kl.S 500x14.6 </t>
  </si>
  <si>
    <t>REWIZJA AS +</t>
  </si>
  <si>
    <t>AS+ Czyszczak  kan.wew. 50</t>
  </si>
  <si>
    <t>AS+ Czyszczak kan.wew. 75</t>
  </si>
  <si>
    <r>
      <t>Rura PVC-U klasa S (SN8)</t>
    </r>
    <r>
      <rPr>
        <b/>
        <sz val="11"/>
        <color indexed="10"/>
        <rFont val="Calibri"/>
        <family val="2"/>
        <charset val="238"/>
      </rPr>
      <t xml:space="preserve"> RDZEŃ SPIENIONY</t>
    </r>
    <r>
      <rPr>
        <b/>
        <sz val="11"/>
        <color indexed="8"/>
        <rFont val="Calibri"/>
        <family val="2"/>
        <charset val="238"/>
      </rPr>
      <t>; kolor Brązowy</t>
    </r>
  </si>
  <si>
    <t>AS+ Czyszczak kan.wew. 90</t>
  </si>
  <si>
    <t>AS+ Czyszczak kan.wew. 110</t>
  </si>
  <si>
    <t>AS+ Czyszczak kan.wew. 125</t>
  </si>
  <si>
    <t>AS+ Czyszczak kan.wew. 160</t>
  </si>
  <si>
    <t>AS+ Czyszczak kan.wew. 200</t>
  </si>
  <si>
    <t>WYWIEWKA</t>
  </si>
  <si>
    <t>Rura wywiewna PVC-U 160/110</t>
  </si>
  <si>
    <t>ZAWÓR NAPOWIETRZAJĄCY</t>
  </si>
  <si>
    <t>Zawór MINI VENT kan. wew. 32. 40. 50</t>
  </si>
  <si>
    <t>Zawór MAXI VENT kan. wew. 75. 110</t>
  </si>
  <si>
    <t>Rura niskoszumowe Wavin Sitech +; kolor Czarny</t>
  </si>
  <si>
    <t>Rura kielichowa  fi 40</t>
  </si>
  <si>
    <t>Rura kielichowa  fi 50</t>
  </si>
  <si>
    <t>Rura kielichowa  fi 75</t>
  </si>
  <si>
    <t>Rura kielichowa  fi 110</t>
  </si>
  <si>
    <t>Rura kielichowa  fi 125</t>
  </si>
  <si>
    <t>Rura kielichowa  fi 160</t>
  </si>
  <si>
    <t>Rura niskoszumowe Wavin AS+ Rura kiel. kan.wew</t>
  </si>
  <si>
    <t>Rura kielichowa  fi 90</t>
  </si>
  <si>
    <t>Rura PP-MD KG2000 SN10</t>
  </si>
  <si>
    <t>ZŁĄCZKA dwukielichowa + nasuwka</t>
  </si>
  <si>
    <r>
      <t xml:space="preserve">Rura PP </t>
    </r>
    <r>
      <rPr>
        <b/>
        <sz val="11"/>
        <color indexed="10"/>
        <rFont val="Calibri"/>
        <family val="2"/>
        <charset val="238"/>
      </rPr>
      <t>LITA SN8  Gładkie KG PP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u/>
        <sz val="11"/>
        <color indexed="10"/>
        <rFont val="Calibri"/>
        <family val="2"/>
        <charset val="238"/>
      </rPr>
      <t>PODPOSADZKA</t>
    </r>
  </si>
  <si>
    <t>Rura PP 110x3.2</t>
  </si>
  <si>
    <t xml:space="preserve">Rura PP 160x4.7 </t>
  </si>
  <si>
    <t xml:space="preserve">Rura PVC-C CTS FlowGuard   </t>
  </si>
  <si>
    <t>1/2 cala (Dn 15)</t>
  </si>
  <si>
    <t>3/4 cala (Dn 20)</t>
  </si>
  <si>
    <t>1 cala (Dn 25)</t>
  </si>
  <si>
    <t>1 1/4 cala (Dn 32)</t>
  </si>
  <si>
    <t>1 1/2 cala (Dn40)</t>
  </si>
  <si>
    <t>2 cala (Dn50)</t>
  </si>
  <si>
    <t>Rura PVC-U Rura ciśnieniowa PN 15</t>
  </si>
  <si>
    <t>3 cala (Dn80)</t>
  </si>
  <si>
    <t>4 cala (Dn100)</t>
  </si>
  <si>
    <t>Rura ciśnieniowa Sch 40</t>
  </si>
  <si>
    <t>2 1/2 cala (Dn 65)</t>
  </si>
  <si>
    <t>WODA ZIMNA</t>
  </si>
  <si>
    <t>kauczuk</t>
  </si>
  <si>
    <t>Armaflex ACE Plus</t>
  </si>
  <si>
    <t>01.2025</t>
  </si>
  <si>
    <t>średnica</t>
  </si>
  <si>
    <t>gr. Izolacji</t>
  </si>
  <si>
    <t>cena</t>
  </si>
  <si>
    <t>wsp</t>
  </si>
  <si>
    <t>mat pom</t>
  </si>
  <si>
    <t>klej+taśma</t>
  </si>
  <si>
    <t>Rob.</t>
  </si>
  <si>
    <t>fi 20</t>
  </si>
  <si>
    <t>25 mm</t>
  </si>
  <si>
    <t>fi 25</t>
  </si>
  <si>
    <t>fi 32</t>
  </si>
  <si>
    <t>fi 40</t>
  </si>
  <si>
    <t>fi 50</t>
  </si>
  <si>
    <t>fi 63</t>
  </si>
  <si>
    <t>fi 76</t>
  </si>
  <si>
    <t>fi 90</t>
  </si>
  <si>
    <t>fi 110</t>
  </si>
  <si>
    <t>fi 139</t>
  </si>
  <si>
    <t>19 mm</t>
  </si>
  <si>
    <t>fi 159</t>
  </si>
  <si>
    <t>13 mm</t>
  </si>
  <si>
    <t>9 mm</t>
  </si>
  <si>
    <t>6 mm</t>
  </si>
  <si>
    <t>Armaflex AF</t>
  </si>
  <si>
    <t>01.2024</t>
  </si>
  <si>
    <t>fi 219</t>
  </si>
  <si>
    <t>fi 273</t>
  </si>
  <si>
    <t>Armaflex Ultima</t>
  </si>
  <si>
    <t>K-FLEX</t>
  </si>
  <si>
    <t xml:space="preserve"> ST/SK</t>
  </si>
  <si>
    <t>pianka</t>
  </si>
  <si>
    <t>ThermaSmart PRO</t>
  </si>
  <si>
    <t>03.2025</t>
  </si>
  <si>
    <t>PE</t>
  </si>
  <si>
    <t>ThermaEco FRZ</t>
  </si>
  <si>
    <t>20 mm</t>
  </si>
  <si>
    <t>wełna</t>
  </si>
  <si>
    <t>PAROC-Alucoat T</t>
  </si>
  <si>
    <t>15x1,2</t>
  </si>
  <si>
    <t>18x1,2</t>
  </si>
  <si>
    <t>22x1,5</t>
  </si>
  <si>
    <t>35x1,5</t>
  </si>
  <si>
    <t>42x1,5</t>
  </si>
  <si>
    <t>54x1,5</t>
  </si>
  <si>
    <t>66,7x1,5</t>
  </si>
  <si>
    <t>76x1,2</t>
  </si>
  <si>
    <t>88,9x1,2</t>
  </si>
  <si>
    <t>108x2</t>
  </si>
  <si>
    <t>01.2023</t>
  </si>
  <si>
    <t>Thermaflex Eco FRZ</t>
  </si>
  <si>
    <t>03. 2022</t>
  </si>
  <si>
    <t>CHŁÓD</t>
  </si>
  <si>
    <t>M+R</t>
  </si>
  <si>
    <t>AF-2-022</t>
  </si>
  <si>
    <t>AF-3-028</t>
  </si>
  <si>
    <t>AF-3-035</t>
  </si>
  <si>
    <t>AF-3-042</t>
  </si>
  <si>
    <t>AF-4-048</t>
  </si>
  <si>
    <t>AF-5-060</t>
  </si>
  <si>
    <t>AF-6-060</t>
  </si>
  <si>
    <t>AF-6-089</t>
  </si>
  <si>
    <t>AF-50MM/E</t>
  </si>
  <si>
    <t>dn 450</t>
  </si>
  <si>
    <t>inne grubości</t>
  </si>
  <si>
    <t>AF-3-022</t>
  </si>
  <si>
    <t>AF-4-028</t>
  </si>
  <si>
    <t>AF-4-035</t>
  </si>
  <si>
    <t>AF-4-042</t>
  </si>
  <si>
    <t>AF-5-076</t>
  </si>
  <si>
    <t>AF-4-089</t>
  </si>
  <si>
    <t>AF-32MM/E</t>
  </si>
  <si>
    <t>AF-50MM/E+AF-19MM</t>
  </si>
  <si>
    <t>AF-50MM/E+AF-25MM</t>
  </si>
  <si>
    <t>DACH</t>
  </si>
  <si>
    <t>AF-5-022</t>
  </si>
  <si>
    <t>AF-6-028</t>
  </si>
  <si>
    <t>AF-6-035</t>
  </si>
  <si>
    <t>AF-6-042</t>
  </si>
  <si>
    <t>AF-6-048</t>
  </si>
  <si>
    <t>AF-6-060 + AF-10MM/E</t>
  </si>
  <si>
    <t>AF-6-076 + AF-32MM/E</t>
  </si>
  <si>
    <t>AF-6-089 + AF-36MM/E</t>
  </si>
  <si>
    <t>2 x AF-50MM/E</t>
  </si>
  <si>
    <t>3 x AF-50MM/E</t>
  </si>
  <si>
    <t>4 x AF-50MM/E</t>
  </si>
  <si>
    <t>5 x AF-50MM/E</t>
  </si>
  <si>
    <t>6 x AF-50MM/E</t>
  </si>
  <si>
    <t>7 x AF-50MM/E</t>
  </si>
  <si>
    <t>8 x AF-50MM/E</t>
  </si>
  <si>
    <t>9 x AF-50MM/E</t>
  </si>
  <si>
    <t>10 x AF-50MM/E</t>
  </si>
  <si>
    <t>11 x AF-50MM/E</t>
  </si>
  <si>
    <t>12 x AF-50MM/E</t>
  </si>
  <si>
    <t>03.2023</t>
  </si>
  <si>
    <t>cennik 01.2023</t>
  </si>
  <si>
    <t>Minimalna obliczeniowa grubość izolacji cieplnej zg z WT</t>
  </si>
  <si>
    <t xml:space="preserve">50 + 3 </t>
  </si>
  <si>
    <t>04.2022</t>
  </si>
  <si>
    <t>kauczuk DACH</t>
  </si>
  <si>
    <t>50+6</t>
  </si>
  <si>
    <t>50+25</t>
  </si>
  <si>
    <t>50+32</t>
  </si>
  <si>
    <t>50+50+ 6</t>
  </si>
  <si>
    <t>02.2022</t>
  </si>
  <si>
    <t>Teclit PS</t>
  </si>
  <si>
    <t>06.2021</t>
  </si>
  <si>
    <t>K-Flex ST</t>
  </si>
  <si>
    <t>04.2024</t>
  </si>
  <si>
    <t>otulina</t>
  </si>
  <si>
    <t xml:space="preserve">mata </t>
  </si>
  <si>
    <t>kauczuk - DACH</t>
  </si>
  <si>
    <t>otulina+mata</t>
  </si>
  <si>
    <t>10.2021</t>
  </si>
  <si>
    <t>K-Flex Al.-Clad</t>
  </si>
  <si>
    <t>11.2023</t>
  </si>
  <si>
    <t>CIEPŁO</t>
  </si>
  <si>
    <t>DO KOSZTORYSU</t>
  </si>
  <si>
    <t>07.2024</t>
  </si>
  <si>
    <t>07.2023</t>
  </si>
  <si>
    <t>większa grubość</t>
  </si>
  <si>
    <t>Steinwool-PVC</t>
  </si>
  <si>
    <t>paroc+fola PCV</t>
  </si>
  <si>
    <t>07.2022</t>
  </si>
  <si>
    <t>STEINWOOL PVC</t>
  </si>
  <si>
    <t>Thermaflex-ThermaEco FRZ</t>
  </si>
  <si>
    <t>założenie brak nowego cennika</t>
  </si>
  <si>
    <t>Thermaflex-ThermaSmart - poliofinowa</t>
  </si>
  <si>
    <t>Tubolit® DG</t>
  </si>
  <si>
    <t>01.2021</t>
  </si>
  <si>
    <t>05.2019</t>
  </si>
  <si>
    <t>19+32=51</t>
  </si>
  <si>
    <t>32+32=64</t>
  </si>
  <si>
    <t>32+40=72</t>
  </si>
  <si>
    <t>50+40=90</t>
  </si>
  <si>
    <t>mata</t>
  </si>
  <si>
    <t>50+50=100</t>
  </si>
  <si>
    <t>Armaflex Ultra</t>
  </si>
  <si>
    <t xml:space="preserve"> lip 2019</t>
  </si>
  <si>
    <t>13+19</t>
  </si>
  <si>
    <t>19+19</t>
  </si>
  <si>
    <t>25+25</t>
  </si>
  <si>
    <t>otulina + mata</t>
  </si>
  <si>
    <t>13+25+25</t>
  </si>
  <si>
    <t>otulina + mata+mata</t>
  </si>
  <si>
    <t>25+25+25</t>
  </si>
  <si>
    <t>13+25+25+25</t>
  </si>
  <si>
    <t>otulina + mata+mata+mata</t>
  </si>
  <si>
    <t>25+25+25+25</t>
  </si>
  <si>
    <t>50+50</t>
  </si>
  <si>
    <r>
      <t xml:space="preserve">Kantherm Inox stal </t>
    </r>
    <r>
      <rPr>
        <sz val="11"/>
        <color indexed="10"/>
        <rFont val="Calibri"/>
        <family val="2"/>
        <charset val="238"/>
      </rPr>
      <t>1.4521</t>
    </r>
    <r>
      <rPr>
        <b/>
        <sz val="11"/>
        <color indexed="8"/>
        <rFont val="Calibri"/>
        <family val="2"/>
        <charset val="238"/>
      </rPr>
      <t xml:space="preserve"> - cennik 17-02-2025</t>
    </r>
  </si>
  <si>
    <t>cena rura</t>
  </si>
  <si>
    <t>Data</t>
  </si>
  <si>
    <t xml:space="preserve">Złączka do zaworów </t>
  </si>
  <si>
    <t>śr. 66,7; 76</t>
  </si>
  <si>
    <t>1 szt</t>
  </si>
  <si>
    <t>2 szt</t>
  </si>
  <si>
    <t>ilość</t>
  </si>
  <si>
    <t>śr. 108</t>
  </si>
  <si>
    <t xml:space="preserve">Kołnierze do zaworów </t>
  </si>
  <si>
    <t>DN65</t>
  </si>
  <si>
    <t>DN80</t>
  </si>
  <si>
    <t>88.9</t>
  </si>
  <si>
    <t>DN100</t>
  </si>
  <si>
    <t>DN125</t>
  </si>
  <si>
    <t>139.7</t>
  </si>
  <si>
    <t>168.3 DN150</t>
  </si>
  <si>
    <t>168.3</t>
  </si>
  <si>
    <r>
      <t>Kantherm</t>
    </r>
    <r>
      <rPr>
        <b/>
        <sz val="11"/>
        <color indexed="10"/>
        <rFont val="Calibri"/>
        <family val="2"/>
        <charset val="238"/>
      </rPr>
      <t xml:space="preserve"> Inox Sprinkler</t>
    </r>
    <r>
      <rPr>
        <b/>
        <sz val="11"/>
        <color indexed="8"/>
        <rFont val="Calibri"/>
        <family val="2"/>
        <charset val="238"/>
      </rPr>
      <t xml:space="preserve"> 1.4401 dla inst. Hydrantowej - cennik 17- 02-2025</t>
    </r>
  </si>
  <si>
    <t>Mapress Edelstahl 1.4401 stal szlachetna</t>
  </si>
  <si>
    <t>Mapress Edelstahl</t>
  </si>
  <si>
    <t xml:space="preserve"> kwiecień 2022</t>
  </si>
  <si>
    <t>Viega Sanpress 1.4401</t>
  </si>
  <si>
    <t>Sanpress</t>
  </si>
  <si>
    <t>nieaktualne</t>
  </si>
  <si>
    <t>PLN 2025 01.01 seria 9000  - NiroSan - rura ze stali nierdzewnej 1.4404/316L</t>
  </si>
  <si>
    <t>czerwiec</t>
  </si>
  <si>
    <t>do wody pitnej</t>
  </si>
  <si>
    <t>uchwyt ocynk</t>
  </si>
  <si>
    <t>Nirosan</t>
  </si>
  <si>
    <t>PLN 2025 05.01 seria 9100  - Niro-Therm - rura ze stali niedrdzewnej 1.4301/304</t>
  </si>
  <si>
    <t>do CO</t>
  </si>
  <si>
    <t>NiroTherm</t>
  </si>
  <si>
    <t>średnica zewn.</t>
  </si>
  <si>
    <t>PP stabilizowane</t>
  </si>
  <si>
    <t>woda ciepła</t>
  </si>
  <si>
    <t>Rura PN20 (S2,5/SDR6) Stabi AI</t>
  </si>
  <si>
    <t>16×2,7</t>
  </si>
  <si>
    <t>20×3,4</t>
  </si>
  <si>
    <t>25×4,2</t>
  </si>
  <si>
    <t>32×5,4</t>
  </si>
  <si>
    <t>40×6,7</t>
  </si>
  <si>
    <t>50×8,3</t>
  </si>
  <si>
    <t>63×10,5</t>
  </si>
  <si>
    <t>75×12,5</t>
  </si>
  <si>
    <t>90×15,0</t>
  </si>
  <si>
    <t>110×18,3</t>
  </si>
  <si>
    <t>rura PP Glass</t>
  </si>
  <si>
    <t>Rura PN16 (S3,2/SDR7,4) Glass</t>
  </si>
  <si>
    <t>Rura PN20 (S2,5/SDR6) Glass</t>
  </si>
  <si>
    <t xml:space="preserve">Rura PN16 </t>
  </si>
  <si>
    <t>Rura PN20 Stabi</t>
  </si>
  <si>
    <t>Rura PP PN10 BOR plus</t>
  </si>
  <si>
    <t xml:space="preserve">25x2,3  </t>
  </si>
  <si>
    <t xml:space="preserve">32x2,9  </t>
  </si>
  <si>
    <t xml:space="preserve">40x3,7  </t>
  </si>
  <si>
    <t xml:space="preserve">50x4,6  </t>
  </si>
  <si>
    <t xml:space="preserve">63x5,8  </t>
  </si>
  <si>
    <t xml:space="preserve">75x6,8  </t>
  </si>
  <si>
    <t xml:space="preserve">90x8,2  </t>
  </si>
  <si>
    <t>Rura PP PN16 BOR plus</t>
  </si>
  <si>
    <t xml:space="preserve">16x2,2  </t>
  </si>
  <si>
    <t xml:space="preserve">20x2,8  </t>
  </si>
  <si>
    <t xml:space="preserve">25x3,5  </t>
  </si>
  <si>
    <t xml:space="preserve">32x4,4  </t>
  </si>
  <si>
    <t xml:space="preserve">40x5,5  </t>
  </si>
  <si>
    <t xml:space="preserve">50x6,9  </t>
  </si>
  <si>
    <t xml:space="preserve">63x8,6  </t>
  </si>
  <si>
    <t xml:space="preserve">75x10,3  </t>
  </si>
  <si>
    <t xml:space="preserve">90x12,3  </t>
  </si>
  <si>
    <t xml:space="preserve">110x15,1  </t>
  </si>
  <si>
    <t xml:space="preserve">125x17,1  </t>
  </si>
  <si>
    <t>Rura PP PN20 BOR plus</t>
  </si>
  <si>
    <t xml:space="preserve">16x2,7  </t>
  </si>
  <si>
    <t xml:space="preserve">20x3,4  </t>
  </si>
  <si>
    <t xml:space="preserve">25x4,2  </t>
  </si>
  <si>
    <t xml:space="preserve">32x5,4  </t>
  </si>
  <si>
    <t xml:space="preserve">40x6,7  </t>
  </si>
  <si>
    <t xml:space="preserve">50x8,3  </t>
  </si>
  <si>
    <t xml:space="preserve">63x10,5  </t>
  </si>
  <si>
    <t>Rura PP Stabi Plus P</t>
  </si>
  <si>
    <t xml:space="preserve">75x8,4  </t>
  </si>
  <si>
    <t xml:space="preserve">90x10,1  </t>
  </si>
  <si>
    <t xml:space="preserve">110x12,3  </t>
  </si>
  <si>
    <t xml:space="preserve"> Rura Ultra Bor Plus</t>
  </si>
  <si>
    <t xml:space="preserve">125x14,0  </t>
  </si>
  <si>
    <t xml:space="preserve">Rura EVO </t>
  </si>
  <si>
    <t xml:space="preserve">20x2,3  </t>
  </si>
  <si>
    <t xml:space="preserve">25x2,8  </t>
  </si>
  <si>
    <t xml:space="preserve">32x3,6  </t>
  </si>
  <si>
    <t xml:space="preserve">40x4,5 </t>
  </si>
  <si>
    <t xml:space="preserve">50x5,6 </t>
  </si>
  <si>
    <t xml:space="preserve">63x7,1  </t>
  </si>
  <si>
    <t>125x12,4</t>
  </si>
  <si>
    <t>TASTA</t>
  </si>
  <si>
    <t>rura ocynk ze szwem podwójnie ocynkowane (ocynk wew. i na zew.) Październik 2023r.</t>
  </si>
  <si>
    <t>średnica DN</t>
  </si>
  <si>
    <t>średnica cale</t>
  </si>
  <si>
    <t>ze szwem</t>
  </si>
  <si>
    <t>śr. 60,3</t>
  </si>
  <si>
    <t>śr. 76,1</t>
  </si>
  <si>
    <t>rura ocynk bez szwu podwójnie ocynkowane (ocynk wew. i na zew.) Październik 2023r.</t>
  </si>
  <si>
    <t>gr. Ścianki</t>
  </si>
  <si>
    <t>rura ocynk gwint b/sz</t>
  </si>
  <si>
    <t>dn150</t>
  </si>
  <si>
    <t>TASTA - Grooved</t>
  </si>
  <si>
    <t>rura ocynk ze szwem podwójnie ocynkowane (ocynk wew. i na zew.)</t>
  </si>
  <si>
    <t>P235TR1</t>
  </si>
  <si>
    <t>P235TR2; P235GH</t>
  </si>
  <si>
    <t>Cena jednostkowa Materiał + kołnierz lub kształtka</t>
  </si>
  <si>
    <t>Robocizna</t>
  </si>
  <si>
    <t>Siłownik</t>
  </si>
  <si>
    <t>Kołnierze</t>
  </si>
  <si>
    <t>Rabat</t>
  </si>
  <si>
    <t>WDK</t>
  </si>
  <si>
    <r>
      <rPr>
        <b/>
        <sz val="10"/>
        <color indexed="8"/>
        <rFont val="Arial"/>
        <family val="2"/>
        <charset val="238"/>
      </rPr>
      <t>Valvex</t>
    </r>
    <r>
      <rPr>
        <sz val="10"/>
        <color indexed="8"/>
        <rFont val="Arial"/>
        <family val="2"/>
        <charset val="238"/>
      </rPr>
      <t xml:space="preserve"> </t>
    </r>
  </si>
  <si>
    <t xml:space="preserve"> Onyx</t>
  </si>
  <si>
    <r>
      <rPr>
        <b/>
        <sz val="10"/>
        <color indexed="8"/>
        <rFont val="Arial"/>
        <family val="2"/>
        <charset val="238"/>
      </rPr>
      <t>IMI</t>
    </r>
    <r>
      <rPr>
        <sz val="10"/>
        <color indexed="8"/>
        <rFont val="Arial"/>
        <family val="2"/>
        <charset val="238"/>
      </rPr>
      <t xml:space="preserve"> </t>
    </r>
  </si>
  <si>
    <r>
      <rPr>
        <b/>
        <sz val="10"/>
        <color indexed="8"/>
        <rFont val="Arial"/>
        <family val="2"/>
        <charset val="238"/>
      </rPr>
      <t>Socla</t>
    </r>
    <r>
      <rPr>
        <sz val="10"/>
        <color indexed="8"/>
        <rFont val="Arial"/>
        <family val="2"/>
        <charset val="238"/>
      </rPr>
      <t xml:space="preserve"> </t>
    </r>
  </si>
  <si>
    <t>X3777 nierdzewne, kształtki</t>
  </si>
  <si>
    <t>X1666 nierdzewne, kształtki</t>
  </si>
  <si>
    <t>zawór odcinający, antysk.</t>
  </si>
  <si>
    <t xml:space="preserve">zawór kołnierzowy, antysk. </t>
  </si>
  <si>
    <t>śr. 75, 76</t>
  </si>
  <si>
    <t>śr. 90, 89</t>
  </si>
  <si>
    <t>śr. 110, 108</t>
  </si>
  <si>
    <r>
      <t>EA 251</t>
    </r>
    <r>
      <rPr>
        <sz val="11"/>
        <color theme="1"/>
        <rFont val="Aptos Narrow"/>
        <family val="2"/>
        <scheme val="minor"/>
      </rPr>
      <t/>
    </r>
  </si>
  <si>
    <t>EA453</t>
  </si>
  <si>
    <t>WDK, GCH</t>
  </si>
  <si>
    <t>filtr</t>
  </si>
  <si>
    <r>
      <rPr>
        <b/>
        <sz val="10"/>
        <color indexed="8"/>
        <rFont val="Arial"/>
        <family val="2"/>
        <charset val="238"/>
      </rPr>
      <t>Danfoss</t>
    </r>
    <r>
      <rPr>
        <sz val="10"/>
        <color indexed="8"/>
        <rFont val="Arial"/>
        <family val="2"/>
        <charset val="238"/>
      </rPr>
      <t xml:space="preserve"> </t>
    </r>
  </si>
  <si>
    <t>zawór czerpalny + HA</t>
  </si>
  <si>
    <r>
      <rPr>
        <b/>
        <sz val="10"/>
        <color indexed="8"/>
        <rFont val="Arial"/>
        <family val="2"/>
        <charset val="238"/>
      </rPr>
      <t xml:space="preserve">Schell </t>
    </r>
    <r>
      <rPr>
        <sz val="10"/>
        <color indexed="8"/>
        <rFont val="Arial"/>
        <family val="2"/>
        <charset val="238"/>
      </rPr>
      <t xml:space="preserve"> </t>
    </r>
  </si>
  <si>
    <t>Schell</t>
  </si>
  <si>
    <t xml:space="preserve">zawór zwrotny </t>
  </si>
  <si>
    <t>śr.76, 69</t>
  </si>
  <si>
    <t>śr. 89, 84</t>
  </si>
  <si>
    <t>ZETKAMA</t>
  </si>
  <si>
    <t>Fig. 821</t>
  </si>
  <si>
    <t>zawór zwrotny</t>
  </si>
  <si>
    <t>Fig. 275</t>
  </si>
  <si>
    <t>Fig.275</t>
  </si>
  <si>
    <t>Fig. 287</t>
  </si>
  <si>
    <t>zawór kołnierzowy</t>
  </si>
  <si>
    <t>EMO T 230 V NC,</t>
  </si>
  <si>
    <t>TA-SLIDER 160, 24 VAC/DC, 0(2)-10 VDC, 2m</t>
  </si>
  <si>
    <t>TA-SLIDER 500 I/O, 24 VAC/DC, 0(2)-10 VDC, 2m</t>
  </si>
  <si>
    <t>TA-SLIDER 750, 24 VAC/DC, 0(2)-10 VDC, 0(4)-20 mA, 3-pkt, on-off</t>
  </si>
  <si>
    <t>TA-SLIDER 1600/24-Proportional 3-point-24 VAC/VDC</t>
  </si>
  <si>
    <t>reduktor</t>
  </si>
  <si>
    <t>SOCLA</t>
  </si>
  <si>
    <t>GCH; KTŁ</t>
  </si>
  <si>
    <t>RLV 15 prosty powrotny</t>
  </si>
  <si>
    <t>RA-N 15 prosty termostat.</t>
  </si>
  <si>
    <t>RLV-KB podwójny dolny</t>
  </si>
  <si>
    <t>WDK; GCH; KTŁ</t>
  </si>
  <si>
    <r>
      <t xml:space="preserve">RURY STALOWE CZARNE BEZ SZWU </t>
    </r>
    <r>
      <rPr>
        <b/>
        <sz val="14"/>
        <color indexed="30"/>
        <rFont val="Arial"/>
        <family val="2"/>
        <charset val="238"/>
      </rPr>
      <t>P235TR2</t>
    </r>
  </si>
  <si>
    <r>
      <rPr>
        <b/>
        <sz val="10"/>
        <rFont val="Arial"/>
        <family val="2"/>
        <charset val="238"/>
      </rPr>
      <t xml:space="preserve">Rury bez szwu do kotłowni i maszynowni </t>
    </r>
    <r>
      <rPr>
        <b/>
        <sz val="10"/>
        <color indexed="30"/>
        <rFont val="Arial"/>
        <family val="2"/>
        <charset val="238"/>
      </rPr>
      <t>P235GHTC1/P265GHTC1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(większy udział kształtek)</t>
    </r>
    <r>
      <rPr>
        <sz val="10"/>
        <rFont val="Arial"/>
        <family val="2"/>
        <charset val="238"/>
      </rPr>
      <t xml:space="preserve"> malowane</t>
    </r>
  </si>
  <si>
    <r>
      <rPr>
        <b/>
        <sz val="10"/>
        <rFont val="Arial"/>
        <family val="2"/>
        <charset val="238"/>
      </rPr>
      <t xml:space="preserve">Rury bez szwu do pary (kotłowe) </t>
    </r>
    <r>
      <rPr>
        <b/>
        <sz val="10"/>
        <color indexed="30"/>
        <rFont val="Arial"/>
        <family val="2"/>
        <charset val="238"/>
      </rPr>
      <t>P235GHTC1/P265GHTC1</t>
    </r>
    <r>
      <rPr>
        <sz val="10"/>
        <rFont val="Arial"/>
        <family val="2"/>
        <charset val="238"/>
      </rPr>
      <t xml:space="preserve">  malowane</t>
    </r>
  </si>
  <si>
    <r>
      <t xml:space="preserve">RURY STALOWE CZARNE BEZ SZWU </t>
    </r>
    <r>
      <rPr>
        <b/>
        <sz val="14"/>
        <color indexed="10"/>
        <rFont val="Arial"/>
        <family val="2"/>
        <charset val="238"/>
      </rPr>
      <t>DO GAZU</t>
    </r>
    <r>
      <rPr>
        <b/>
        <sz val="14"/>
        <rFont val="Arial"/>
        <family val="2"/>
        <charset val="238"/>
      </rPr>
      <t xml:space="preserve"> </t>
    </r>
    <r>
      <rPr>
        <b/>
        <sz val="14"/>
        <color indexed="30"/>
        <rFont val="Arial"/>
        <family val="2"/>
        <charset val="238"/>
      </rPr>
      <t>wg normy L360NE/P355NH wg. EN ISO 3183/EN 10216-3</t>
    </r>
  </si>
  <si>
    <t>Rury bez szwu wg EN10216-2 o grubościach ścianek zbliżonych do SCH 40 STD</t>
  </si>
  <si>
    <t>dn</t>
  </si>
  <si>
    <t>średnie</t>
  </si>
  <si>
    <r>
      <t>malowanie u producenta</t>
    </r>
    <r>
      <rPr>
        <b/>
        <sz val="7"/>
        <rFont val="Arial"/>
        <family val="2"/>
        <charset val="238"/>
      </rPr>
      <t xml:space="preserve"> (metoda Remoplast UVC gr. 70 um)</t>
    </r>
  </si>
  <si>
    <t>rury średnie + malowanie</t>
  </si>
  <si>
    <t>gr. ścian wg normy PN-79/H-74244</t>
  </si>
  <si>
    <t>cena jedn.</t>
  </si>
  <si>
    <t>gr. ścian wg normy L360NE/P355NH wg. EN ISO 3183/EN 10216-3</t>
  </si>
  <si>
    <t>b/szwu</t>
  </si>
  <si>
    <t>PAŹDZIERNIK</t>
  </si>
  <si>
    <r>
      <t>RURY STALOWE CZARNE ZE SZWEM</t>
    </r>
    <r>
      <rPr>
        <b/>
        <sz val="14"/>
        <color indexed="30"/>
        <rFont val="Arial"/>
        <family val="2"/>
        <charset val="238"/>
      </rPr>
      <t xml:space="preserve"> P235TR1</t>
    </r>
  </si>
  <si>
    <t>gr. ścianek</t>
  </si>
  <si>
    <t>ze/szwem</t>
  </si>
  <si>
    <t>J. m.</t>
  </si>
  <si>
    <t>Cena jednostkowa Robocizna  Koszty
[PLN]</t>
  </si>
  <si>
    <t>Budżet</t>
  </si>
  <si>
    <t>śr. 30</t>
  </si>
  <si>
    <t>śr. 38</t>
  </si>
  <si>
    <t>śr. 44,5</t>
  </si>
  <si>
    <t>śr. 57</t>
  </si>
  <si>
    <t xml:space="preserve">rura PP </t>
  </si>
  <si>
    <t>rura klejona</t>
  </si>
  <si>
    <t>rura PP-HT, niskoszum</t>
  </si>
  <si>
    <t>210120 Rurociągi PCV</t>
  </si>
  <si>
    <t>rura HDPE, PE podposadz</t>
  </si>
  <si>
    <t>rura żeliwna</t>
  </si>
  <si>
    <t>rura HDPE, PE</t>
  </si>
  <si>
    <t>210090 Rurociągi HDPE, 210100 Rurociągi PE</t>
  </si>
  <si>
    <t>izolacja kauczuk, pianka, wełna</t>
  </si>
  <si>
    <t>040020 Izolacja na wodzie - kauczuk, 100010 Izolacja deszczówka - kauczuk, 040030 Izolacja na wodzie - PE, 100020 Izolacja deszczówka - PE, 040040 Izolacja na wodzie - wełna, 100030 Izolacja deszczówka - wełna</t>
  </si>
  <si>
    <t>izolacje mata</t>
  </si>
  <si>
    <t>Płaszcz ocynk</t>
  </si>
  <si>
    <t>010690 Płaszcz z blachy ocynkowanej</t>
  </si>
  <si>
    <t>Płaszcz aluocynk</t>
  </si>
  <si>
    <t>010670 Płaszcz z blachy aluocynk</t>
  </si>
  <si>
    <t>Płaszcz aluminiowy</t>
  </si>
  <si>
    <t>010660 Płaszcz z blachy aluminiowej</t>
  </si>
  <si>
    <t>Płaszcz nierdzewny</t>
  </si>
  <si>
    <t>010680 Płaszcz z blachy nierdzewnej</t>
  </si>
  <si>
    <t>Płaszcz stalowy</t>
  </si>
  <si>
    <t>&lt; dn 100</t>
  </si>
  <si>
    <t>mb</t>
  </si>
  <si>
    <t>zawór odcinający, antysk., zwrotny, filtr</t>
  </si>
  <si>
    <t>zawór kołnierzowy, antysk., zwrotny, filtr, przepustnica</t>
  </si>
  <si>
    <t>zawór cyrkulacyjny, elektrozawór</t>
  </si>
  <si>
    <t>dn 40, dn 50</t>
  </si>
  <si>
    <t>do dn 32</t>
  </si>
  <si>
    <t>040140 Wodomierze</t>
  </si>
  <si>
    <t>do dn 50</t>
  </si>
  <si>
    <t>od dn 65</t>
  </si>
  <si>
    <t>do 15 litrów</t>
  </si>
  <si>
    <t>040070 Podgrzewacze</t>
  </si>
  <si>
    <t>do 50 litrów</t>
  </si>
  <si>
    <t>od 50 litrów</t>
  </si>
  <si>
    <t>500-1000 litrów</t>
  </si>
  <si>
    <t>040150 Zasobnik c.w.u.</t>
  </si>
  <si>
    <t xml:space="preserve">zestaw hydroforowy </t>
  </si>
  <si>
    <t>040170 Zestawy hydroforowe bytowe</t>
  </si>
  <si>
    <t>10% ceny</t>
  </si>
  <si>
    <t>040130 Stacje uzdatniania wody</t>
  </si>
  <si>
    <t>HP25, HP52</t>
  </si>
  <si>
    <t>050140 Hydranty i gaśnice</t>
  </si>
  <si>
    <t>210060 Wpusty</t>
  </si>
  <si>
    <t>czyszczak żeliwny</t>
  </si>
  <si>
    <t xml:space="preserve"> dn 100, dn 50</t>
  </si>
  <si>
    <t>210050 Armatura</t>
  </si>
  <si>
    <t>50, 110, 160</t>
  </si>
  <si>
    <t>pompa</t>
  </si>
  <si>
    <t>210040 Pompy i przepomodnie</t>
  </si>
  <si>
    <t>przepomodnia</t>
  </si>
  <si>
    <t>wywiewka, zawór naod-dod.</t>
  </si>
  <si>
    <t>dn 50, 100, 150, 200</t>
  </si>
  <si>
    <t>210160 Studnie i włazy</t>
  </si>
  <si>
    <t>Wykopy koparką</t>
  </si>
  <si>
    <t>Wykopy ręczne</t>
  </si>
  <si>
    <t>Posypka z zagęszczaniem bez piasku</t>
  </si>
  <si>
    <t>Zasypywanie koparką</t>
  </si>
  <si>
    <t>081000 Biały montaż - inne</t>
  </si>
  <si>
    <t>080130 Ceramika</t>
  </si>
  <si>
    <t>syfon umywalk, zlew</t>
  </si>
  <si>
    <t>080100 Osprzęt (syfony, maty, rozety, wężyki)</t>
  </si>
  <si>
    <t>syfon brodzik, wanna</t>
  </si>
  <si>
    <t>miska NP. + deska</t>
  </si>
  <si>
    <t>080070 Osprzęt dla niepełnosprawnych (poręcze, krzesełka, lustra, itp.)</t>
  </si>
  <si>
    <t xml:space="preserve">kabel grzewczy </t>
  </si>
  <si>
    <t>długi</t>
  </si>
  <si>
    <t>040050 Kable grzewcze</t>
  </si>
  <si>
    <t>krótki</t>
  </si>
  <si>
    <t>materiał</t>
  </si>
  <si>
    <t>cena robocizny</t>
  </si>
  <si>
    <t>rura</t>
  </si>
  <si>
    <t>rura stalowe spawane</t>
  </si>
  <si>
    <t>rura czarna b/szwu, z/szwem</t>
  </si>
  <si>
    <t>Rury stalowe rowkowane</t>
  </si>
  <si>
    <t>rura czarna b/szwu, z/szwem rowk</t>
  </si>
  <si>
    <t>rura ocynkowane zaciskane C-Stahl</t>
  </si>
  <si>
    <t>Rurociągi gwintowane</t>
  </si>
  <si>
    <t>rura stalowe nierdzewne spawane</t>
  </si>
  <si>
    <t>Rurociagi PE prowadzone w warstwie podłogowej</t>
  </si>
  <si>
    <t>rura pex podłoga zwój</t>
  </si>
  <si>
    <t>rura PEX zaciskane</t>
  </si>
  <si>
    <t>rura nierdzewne INOX zaciskane</t>
  </si>
  <si>
    <t>IZOLACJA</t>
  </si>
  <si>
    <t>Izolacja rurociągów prowadzonych w warstwie podłogowej gr.6mm</t>
  </si>
  <si>
    <t>izolacja pianka podłog</t>
  </si>
  <si>
    <t>Izolacja CO, CT</t>
  </si>
  <si>
    <t>Izolacja WL-wew.</t>
  </si>
  <si>
    <t>Izolacja WL-zew.</t>
  </si>
  <si>
    <t>izolacje kauczuk wew.</t>
  </si>
  <si>
    <t>śr. 450</t>
  </si>
  <si>
    <t>śr. 600</t>
  </si>
  <si>
    <t>Izolacja mata</t>
  </si>
  <si>
    <t>PŁASZCZ STALOWY</t>
  </si>
  <si>
    <t>OGRZEWANIE KABLOWE, ELEKTRYCZNE</t>
  </si>
  <si>
    <t>współczynnik dł. kabli do rur</t>
  </si>
  <si>
    <t xml:space="preserve">Kabel grzewczy </t>
  </si>
  <si>
    <t>&gt;dn50</t>
  </si>
  <si>
    <t>dn50</t>
  </si>
  <si>
    <t>OGRZEWANIE PODŁOGOWE</t>
  </si>
  <si>
    <t>dn65</t>
  </si>
  <si>
    <t>dn80</t>
  </si>
  <si>
    <t>ZAWORY</t>
  </si>
  <si>
    <t>dn100</t>
  </si>
  <si>
    <t>RÓWNOWAŻĄCE, REGULACYJNE PICV</t>
  </si>
  <si>
    <t>dn125</t>
  </si>
  <si>
    <t xml:space="preserve">zawór równoważący, regulacyjny </t>
  </si>
  <si>
    <t>dn250</t>
  </si>
  <si>
    <t>dn300</t>
  </si>
  <si>
    <t>dn350</t>
  </si>
  <si>
    <t>dn400</t>
  </si>
  <si>
    <t>dn450</t>
  </si>
  <si>
    <t>dn500</t>
  </si>
  <si>
    <t>ODCINAJĄCE, ZWROTNE, FILTRY, ŁĄCZNIKI</t>
  </si>
  <si>
    <t>zawór odcinający, zwrotny, filtr, łącznik</t>
  </si>
  <si>
    <t>zawór odcinający, przepustnica, zwrotny, filtr, łacznik</t>
  </si>
  <si>
    <r>
      <rPr>
        <b/>
        <sz val="8"/>
        <color indexed="10"/>
        <rFont val="Arial"/>
        <family val="2"/>
        <charset val="238"/>
      </rPr>
      <t xml:space="preserve">NIERDZEWNE spawane </t>
    </r>
    <r>
      <rPr>
        <b/>
        <sz val="8"/>
        <rFont val="Arial"/>
        <family val="2"/>
        <charset val="238"/>
      </rPr>
      <t>- ODCINAJĄCE, ZWROTNE, FILTRY</t>
    </r>
  </si>
  <si>
    <t>nierdzewny zawór odcinający, zwrotny, filtr</t>
  </si>
  <si>
    <t>nierdzewny zawór odcinający, przepustnica, zwrotny, filtr</t>
  </si>
  <si>
    <t>REGULACYJNE 2-DROGOWE</t>
  </si>
  <si>
    <t>REGULACYJNE 3-DROGOWE</t>
  </si>
  <si>
    <t xml:space="preserve">ROZDZIELACZE  </t>
  </si>
  <si>
    <t>POMPY OBIEGOWE</t>
  </si>
  <si>
    <t>do dn 100</t>
  </si>
  <si>
    <t>od 125</t>
  </si>
  <si>
    <t>Płyta wibroizolacyjna pod pompę</t>
  </si>
  <si>
    <t>NACZYNIA, ZBIORNIKI, STABILIZACJA</t>
  </si>
  <si>
    <t>do 100l</t>
  </si>
  <si>
    <t>do 500l</t>
  </si>
  <si>
    <t>od 600l</t>
  </si>
  <si>
    <t>zbiornik, bufor</t>
  </si>
  <si>
    <t>do 200l</t>
  </si>
  <si>
    <t>do 2000l</t>
  </si>
  <si>
    <t>od 2100l</t>
  </si>
  <si>
    <t>do 5dm3</t>
  </si>
  <si>
    <t>200-250</t>
  </si>
  <si>
    <t>MANOMETRY, TERMOMETRY, ODodIETRZENIE, SPUST</t>
  </si>
  <si>
    <t>LICZNIKI CIEPŁA I CHŁODU</t>
  </si>
  <si>
    <t>do dn50</t>
  </si>
  <si>
    <t>do dn100</t>
  </si>
  <si>
    <t>od dn 125</t>
  </si>
  <si>
    <t>WODOMIERZE</t>
  </si>
  <si>
    <t>dn 15-32</t>
  </si>
  <si>
    <t>dn 40-50</t>
  </si>
  <si>
    <t>odyżej 65-100</t>
  </si>
  <si>
    <t>URZĄDZENIA</t>
  </si>
  <si>
    <t>AGREGATY I WIEŻE CHŁODNICZE</t>
  </si>
  <si>
    <t>agregat, wieża chłodnicza, pompa ciepła</t>
  </si>
  <si>
    <t>do 500kW</t>
  </si>
  <si>
    <r>
      <rPr>
        <b/>
        <sz val="8"/>
        <color indexed="10"/>
        <rFont val="Arial"/>
        <family val="2"/>
        <charset val="238"/>
      </rPr>
      <t xml:space="preserve">WIEŻA </t>
    </r>
    <r>
      <rPr>
        <sz val="8"/>
        <rFont val="Arial"/>
        <family val="2"/>
        <charset val="238"/>
      </rPr>
      <t xml:space="preserve">+ chemia do wody 10000zł/; </t>
    </r>
    <r>
      <rPr>
        <sz val="8"/>
        <color indexed="10"/>
        <rFont val="Arial"/>
        <family val="2"/>
        <charset val="238"/>
      </rPr>
      <t xml:space="preserve">pasywacja 3500zł; układ odsalania jeśli nie w cenie wieży 3500zł;  </t>
    </r>
    <r>
      <rPr>
        <sz val="8"/>
        <rFont val="Arial"/>
        <family val="2"/>
        <charset val="238"/>
      </rPr>
      <t xml:space="preserve">  szafa automatyki 80.000zł</t>
    </r>
  </si>
  <si>
    <t>do 1000 kW</t>
  </si>
  <si>
    <t>AGREGAT + koszty uruchomienia, moduły do BMS, podkładki, łączniki rur, koszt dzwigu</t>
  </si>
  <si>
    <t>do 2000 kW</t>
  </si>
  <si>
    <t>od 2100 kW</t>
  </si>
  <si>
    <t>KLIMAKONWEKTORY</t>
  </si>
  <si>
    <t>klimakonwektor  podokienny</t>
  </si>
  <si>
    <t>KURTYNY, APARATY, WYMIENNIKI, POMPY CIEPŁA</t>
  </si>
  <si>
    <t>do 1000</t>
  </si>
  <si>
    <t>do 2000</t>
  </si>
  <si>
    <t>od 2100</t>
  </si>
  <si>
    <t xml:space="preserve"> +uruchomienie -500zł</t>
  </si>
  <si>
    <t>UZDATNIANIE WODY</t>
  </si>
  <si>
    <t>stacja uzdatniania wody</t>
  </si>
  <si>
    <t>10% wartości stacji lub jak poniżej:</t>
  </si>
  <si>
    <t xml:space="preserve"> + chemia 3000zł/szt urzadzenia lub układ</t>
  </si>
  <si>
    <t>układ dozowania inhibitor</t>
  </si>
  <si>
    <t>układ odsalania</t>
  </si>
  <si>
    <t>uklad dozujący biocyd</t>
  </si>
  <si>
    <t xml:space="preserve">KLIMATYZATORY  </t>
  </si>
  <si>
    <t>GRZEJNIKI</t>
  </si>
  <si>
    <t>do 1500</t>
  </si>
  <si>
    <t>od 1500</t>
  </si>
  <si>
    <t>do 5 ob.</t>
  </si>
  <si>
    <t>od 6 ob.</t>
  </si>
  <si>
    <t>nagrzewnica, chłodnica kanałowa</t>
  </si>
  <si>
    <t>do 315 mm</t>
  </si>
  <si>
    <t>od 315 mm</t>
  </si>
  <si>
    <t>obw. do 3000 mm</t>
  </si>
  <si>
    <t>obw. od 3000 do 5000</t>
  </si>
  <si>
    <t>obw. od. 5000</t>
  </si>
  <si>
    <t>GLIKOL</t>
  </si>
  <si>
    <t>PUNKTY STAŁE</t>
  </si>
  <si>
    <t>punkt stały</t>
  </si>
  <si>
    <t>dn 15 ÷ dn 50</t>
  </si>
  <si>
    <t>dn 65 ÷ dn 100</t>
  </si>
  <si>
    <t>dn 100 ÷ dn 200</t>
  </si>
  <si>
    <t>dn 250 ÷ dn 350</t>
  </si>
  <si>
    <t>DODATEK DO ROBOCIZNY ZA WĘZEŁ CT/WL DO URZĄDZEŃ</t>
  </si>
  <si>
    <t>do DN100</t>
  </si>
  <si>
    <t>od DN100</t>
  </si>
  <si>
    <t>Separator powietrza</t>
  </si>
  <si>
    <t>Zawór bezpieczeństwa</t>
  </si>
  <si>
    <t>REWIZJA PEHD</t>
  </si>
  <si>
    <t xml:space="preserve">Czyszczak  PEHD fi 50 </t>
  </si>
  <si>
    <t>Czyszczak PEHD fi 56</t>
  </si>
  <si>
    <t>Czyszczak  PEHD fi 63</t>
  </si>
  <si>
    <t>Czyszczak PEHD fi 75</t>
  </si>
  <si>
    <t>Czyszczak PEHD fi 90</t>
  </si>
  <si>
    <t>Czyszczak PEHD fi 110</t>
  </si>
  <si>
    <t>Czyszczak PEHD fi 125</t>
  </si>
  <si>
    <t>Czyszczak PEHD fi 160</t>
  </si>
  <si>
    <t>Czyszczak PEHD fi 200</t>
  </si>
  <si>
    <t>Czyszczak PEHD fi 250</t>
  </si>
  <si>
    <t>Czyszczak PEHD fi 315</t>
  </si>
  <si>
    <t>CENNIK 23.06.2025 r.</t>
  </si>
  <si>
    <t>RURY PEHD</t>
  </si>
  <si>
    <t>elektromufy</t>
  </si>
  <si>
    <t>fi 56</t>
  </si>
  <si>
    <t>fi 75</t>
  </si>
  <si>
    <t>fi 125</t>
  </si>
  <si>
    <t>fi 160</t>
  </si>
  <si>
    <t>fi 200</t>
  </si>
  <si>
    <t>fi 250</t>
  </si>
  <si>
    <t>fi 315</t>
  </si>
  <si>
    <t>Geberit Silent dB</t>
  </si>
  <si>
    <t>rura niskosz</t>
  </si>
  <si>
    <t>dn 56</t>
  </si>
  <si>
    <t>dn 63</t>
  </si>
  <si>
    <t>dn 75</t>
  </si>
  <si>
    <t>dn 90</t>
  </si>
  <si>
    <t>dn 110</t>
  </si>
  <si>
    <t>dn 135</t>
  </si>
  <si>
    <t>dn 160</t>
  </si>
  <si>
    <t>ROK 2024 styczeń - bez szwu</t>
  </si>
  <si>
    <t>współ</t>
  </si>
  <si>
    <t>kolano ilość</t>
  </si>
  <si>
    <t>trójnik ilość</t>
  </si>
  <si>
    <t>redukcja ilość</t>
  </si>
  <si>
    <t>rura b/s + rowk+malowanie</t>
  </si>
  <si>
    <t>kolano Victaulic</t>
  </si>
  <si>
    <t>trójnik Victaulic</t>
  </si>
  <si>
    <t>redukcja Victaulic</t>
  </si>
  <si>
    <t>łączniki ilość</t>
  </si>
  <si>
    <t xml:space="preserve">łączniki </t>
  </si>
  <si>
    <t>zawiesia</t>
  </si>
  <si>
    <t>Rury stalowe Tasta</t>
  </si>
  <si>
    <t xml:space="preserve">DN20 </t>
  </si>
  <si>
    <t>Rurociągi z rur stalowych czarnych bez szwu DN 20 rowkowane o połączeniach w technologii Victaulic z mocowaniem, zabezpieczeniem antykorozyjnym, izolacją z kauczuku</t>
  </si>
  <si>
    <t>DN25</t>
  </si>
  <si>
    <t>Rurociągi z rur stalowych czarnych bez szwu DN 25 rowkowane o połączeniach w technologii Victaulic z mocowaniem, zabezpieczeniem antykorozyjnym, izolacją z kauczuku</t>
  </si>
  <si>
    <t>DN32</t>
  </si>
  <si>
    <t>Rurociągi z rur stalowych czarnych bez szwu DN 32 rowkowane o połączeniach w technologii Victaulic z mocowaniem, zabezpieczeniem antykorozyjnym, izolacją z kauczuku</t>
  </si>
  <si>
    <t>DN40</t>
  </si>
  <si>
    <t>Rurociągi z rur stalowych czarnych bez szwu DN 40 rowkowane o połączeniach w technologii Victaulic z mocowaniem, zabezpieczeniem antykorozyjnym, izolacją z kauczuku</t>
  </si>
  <si>
    <t>DN50</t>
  </si>
  <si>
    <t>Rurociągi z rur stalowych czarnych bez szwu DN 50 rowkowane o połączeniach w technologii Victaulic z mocowaniem, zabezpieczeniem antykorozyjnym, izolacją z kauczuku</t>
  </si>
  <si>
    <t>Rurociągi z rur stalowych czarnych bez szwu DN 65 rowkowane o połączeniach w technologii Victaulic z mocowaniem, zabezpieczeniem antykorozyjnym, izolacją z kauczuku</t>
  </si>
  <si>
    <t>Rurociągi z rur stalowych czarnych bez szwu DN 80 rowkowane o połączeniach w technologii Victaulic z mocowaniem, zabezpieczeniem antykorozyjnym, izolacją z wełny mineralnej na folii Alu</t>
  </si>
  <si>
    <t>Rurociągi z rur stalowych czarnych bez szwu DN 100 rowkowane o połączeniach w technologii Victaulic z mocowaniem, zabezpieczeniem antykorozyjnym, izolacją z kauczuku</t>
  </si>
  <si>
    <t>Rurociągi z rur stalowych czarnych bez szwu DN 125 rowkowane o połączeniach w technologii Victaulic z mocowaniem, zabezpieczeniem antykorozyjnym, izolacją z wełny mineralnej na folii Alu</t>
  </si>
  <si>
    <t>DN150</t>
  </si>
  <si>
    <t>Rurociągi z rur stalowych czarnych bez szwu DN 150 rowkowane o połączeniach w technologii Victaulic z mocowaniem, zabezpieczeniem antykorozyjnym, izolacją z kauczuku</t>
  </si>
  <si>
    <t>DN200</t>
  </si>
  <si>
    <t>Rurociągi z rur stalowych czarnych bez szwu DN 200 rowkowane o połączeniach w technologii Victaulic z mocowaniem, zabezpieczeniem antykorozyjnym, izolacją z wełny mineralnej na folii Alu</t>
  </si>
  <si>
    <t>DN250</t>
  </si>
  <si>
    <t>Rurociągi z rur stalowych czarnych bez szwu DN 250 rowkowane o połączeniach w technologii Victaulic z mocowaniem, zabezpieczeniem antykorozyjnym, izolacją z wełny mineralnej na folii Alu</t>
  </si>
  <si>
    <t>DN300</t>
  </si>
  <si>
    <t>Rurociągi z rur stalowych czarnych bez szwu DN 300 rowkowane o połączeniach w technologii Victaulic z mocowaniem, zabezpieczeniem antykorozyjnym, izolacją z wełny mineralnej na folii Alu</t>
  </si>
  <si>
    <t>DN350</t>
  </si>
  <si>
    <t>Rurociągi z rur stalowych czarnych bez szwu DN 350 rowkowane o połączeniach w technologii Victaulic z mocowaniem, zabezpieczeniem antykorozyjnym, izolacją z wełny mineralnej na folii Alu</t>
  </si>
  <si>
    <t>PLN</t>
  </si>
  <si>
    <t>ROK 2024 styczeń - ze szwem</t>
  </si>
  <si>
    <t>rura z/s + rowk+malowanie</t>
  </si>
  <si>
    <t>ROK 2024 styczeń</t>
  </si>
  <si>
    <t>rura z/szwem + rowk</t>
  </si>
  <si>
    <t>304  ZE SZWEM</t>
  </si>
  <si>
    <t>Z oferty Elstar (lipiec 2025r.)</t>
  </si>
  <si>
    <r>
      <t xml:space="preserve">Rura ze stali nierdzewnej ze szwem spawana </t>
    </r>
    <r>
      <rPr>
        <b/>
        <sz val="11"/>
        <color indexed="10"/>
        <rFont val="Calibri"/>
        <family val="2"/>
        <charset val="238"/>
      </rPr>
      <t>stal 304</t>
    </r>
  </si>
  <si>
    <t>kształtki 304</t>
  </si>
  <si>
    <t>z/szwem 304</t>
  </si>
  <si>
    <t>Z oferty Neumo (kwiecień 2025r.)</t>
  </si>
  <si>
    <r>
      <t xml:space="preserve">Rura ze stali nierdzewnej ze szwem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- grubościenna</t>
    </r>
  </si>
  <si>
    <t>z/szwem 304 grubościenna</t>
  </si>
  <si>
    <t>304   BEZ SZWU</t>
  </si>
  <si>
    <t>Z oferty Neumo (maj 2025r.)</t>
  </si>
  <si>
    <r>
      <t xml:space="preserve">Rura ze stali nierdzewnej bez szwu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sz val="11"/>
        <color indexed="8"/>
        <rFont val="Calibri"/>
        <family val="2"/>
        <charset val="238"/>
      </rPr>
      <t xml:space="preserve">- </t>
    </r>
    <r>
      <rPr>
        <b/>
        <sz val="11"/>
        <color indexed="10"/>
        <rFont val="Calibri"/>
        <family val="2"/>
        <charset val="238"/>
      </rPr>
      <t>grubościenna</t>
    </r>
  </si>
  <si>
    <r>
      <t>60,3x</t>
    </r>
    <r>
      <rPr>
        <b/>
        <sz val="11"/>
        <color indexed="8"/>
        <rFont val="Calibri"/>
        <family val="2"/>
        <charset val="238"/>
      </rPr>
      <t>4,5</t>
    </r>
  </si>
  <si>
    <t>b/szwu 304 grubościenna</t>
  </si>
  <si>
    <r>
      <t xml:space="preserve">76,1x </t>
    </r>
    <r>
      <rPr>
        <b/>
        <sz val="11"/>
        <color indexed="8"/>
        <rFont val="Calibri"/>
        <family val="2"/>
        <charset val="238"/>
      </rPr>
      <t>4,00</t>
    </r>
  </si>
  <si>
    <r>
      <t xml:space="preserve">88,9x </t>
    </r>
    <r>
      <rPr>
        <b/>
        <sz val="11"/>
        <color indexed="8"/>
        <rFont val="Calibri"/>
        <family val="2"/>
        <charset val="238"/>
      </rPr>
      <t>4,50</t>
    </r>
  </si>
  <si>
    <r>
      <t>114,3x</t>
    </r>
    <r>
      <rPr>
        <b/>
        <sz val="11"/>
        <color indexed="8"/>
        <rFont val="Calibri"/>
        <family val="2"/>
        <charset val="238"/>
      </rPr>
      <t xml:space="preserve"> 4,00</t>
    </r>
  </si>
  <si>
    <r>
      <t xml:space="preserve">139,7x </t>
    </r>
    <r>
      <rPr>
        <b/>
        <sz val="11"/>
        <color indexed="8"/>
        <rFont val="Calibri"/>
        <family val="2"/>
        <charset val="238"/>
      </rPr>
      <t>4,00</t>
    </r>
  </si>
  <si>
    <r>
      <t xml:space="preserve">168,3x </t>
    </r>
    <r>
      <rPr>
        <b/>
        <sz val="11"/>
        <color indexed="8"/>
        <rFont val="Calibri"/>
        <family val="2"/>
        <charset val="238"/>
      </rPr>
      <t>4,50</t>
    </r>
  </si>
  <si>
    <r>
      <t xml:space="preserve">219,1x </t>
    </r>
    <r>
      <rPr>
        <b/>
        <sz val="11"/>
        <color indexed="8"/>
        <rFont val="Calibri"/>
        <family val="2"/>
        <charset val="238"/>
      </rPr>
      <t>6,3</t>
    </r>
  </si>
  <si>
    <r>
      <t>273 x</t>
    </r>
    <r>
      <rPr>
        <b/>
        <sz val="11"/>
        <color indexed="8"/>
        <rFont val="Calibri"/>
        <family val="2"/>
        <charset val="238"/>
      </rPr>
      <t>12,7</t>
    </r>
  </si>
  <si>
    <r>
      <t xml:space="preserve">Rura ze stali nierdzewnej bez szwu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sz val="11"/>
        <color indexed="8"/>
        <rFont val="Calibri"/>
        <family val="2"/>
        <charset val="238"/>
      </rPr>
      <t xml:space="preserve">- </t>
    </r>
    <r>
      <rPr>
        <b/>
        <sz val="11"/>
        <color indexed="10"/>
        <rFont val="Calibri"/>
        <family val="2"/>
        <charset val="238"/>
      </rPr>
      <t>cienkościenna</t>
    </r>
  </si>
  <si>
    <t>b/szwu 304</t>
  </si>
  <si>
    <t>Z oferty Elstar (kwiecień 2025r.)</t>
  </si>
  <si>
    <r>
      <t xml:space="preserve">Rura ze stali nierdzewnej bez szwu spawana </t>
    </r>
    <r>
      <rPr>
        <b/>
        <sz val="11"/>
        <color indexed="10"/>
        <rFont val="Calibri"/>
        <family val="2"/>
        <charset val="238"/>
      </rPr>
      <t>stal 304</t>
    </r>
    <r>
      <rPr>
        <b/>
        <sz val="11"/>
        <color indexed="8"/>
        <rFont val="Calibri"/>
        <family val="2"/>
        <charset val="238"/>
      </rPr>
      <t xml:space="preserve"> </t>
    </r>
    <r>
      <rPr>
        <b/>
        <sz val="11"/>
        <color indexed="8"/>
        <rFont val="Calibri"/>
        <family val="2"/>
        <charset val="238"/>
      </rPr>
      <t>- cienkościenna</t>
    </r>
  </si>
  <si>
    <t>b/szwu 304 cienkościenna</t>
  </si>
  <si>
    <t>316  ZE SZWEM</t>
  </si>
  <si>
    <t>Z oferty Elstar (czerwiec 2025r.)</t>
  </si>
  <si>
    <r>
      <t xml:space="preserve">Rura ze stali nierdzewnej ze szwem spawana </t>
    </r>
    <r>
      <rPr>
        <b/>
        <sz val="11"/>
        <color indexed="10"/>
        <rFont val="Calibri"/>
        <family val="2"/>
        <charset val="238"/>
      </rPr>
      <t>stal 316</t>
    </r>
  </si>
  <si>
    <t>kształtki 316</t>
  </si>
  <si>
    <t>zawiesia nierdzewne</t>
  </si>
  <si>
    <t>53x1,4</t>
  </si>
  <si>
    <t>088,9x2,0</t>
  </si>
  <si>
    <t xml:space="preserve">  20.03.2025</t>
  </si>
  <si>
    <t>Kantherm Steel rura ze stali węglowej, ocynkowana</t>
  </si>
  <si>
    <t>Złączka lub kołnierz do zaworów</t>
  </si>
  <si>
    <t xml:space="preserve">15x1,2 </t>
  </si>
  <si>
    <t>15x3/8</t>
  </si>
  <si>
    <t>18x1/2</t>
  </si>
  <si>
    <t>22x3/4</t>
  </si>
  <si>
    <t>28 R1"</t>
  </si>
  <si>
    <t xml:space="preserve">35x1,5 </t>
  </si>
  <si>
    <t>35 R1 1/4</t>
  </si>
  <si>
    <t xml:space="preserve">42x1,5 </t>
  </si>
  <si>
    <t>42 R1 1/2"</t>
  </si>
  <si>
    <t xml:space="preserve">54x1,5 </t>
  </si>
  <si>
    <t>54 R2"</t>
  </si>
  <si>
    <t xml:space="preserve">66,7x1,5 </t>
  </si>
  <si>
    <t>Kołnierz PN16 Steel - 66.7 DN65</t>
  </si>
  <si>
    <t xml:space="preserve">76x1x2 </t>
  </si>
  <si>
    <t>Kołnierz PN16 Steel - 76.1 DN65</t>
  </si>
  <si>
    <t xml:space="preserve">88,9x2 </t>
  </si>
  <si>
    <t>Kołnierz PN16 Steel - 88.9 DN80</t>
  </si>
  <si>
    <t xml:space="preserve">108x2 </t>
  </si>
  <si>
    <t>Kołnierz PN16 Steel - 108 DN100</t>
  </si>
  <si>
    <t>Mapress C-Stahl Geberit - maj 2023</t>
  </si>
  <si>
    <t>Viega Prestabo 1104 - cennik kwiecień 2021</t>
  </si>
  <si>
    <t>Sanha-therm (seria 24000) - 11.2023</t>
  </si>
  <si>
    <t>SANHA®-Therm Rura w sztangach po 6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</si>
</sst>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_-* #,##0.00\ _z_ł_-;\-* #,##0.00\ _z_ł_-;_-* &quot;-&quot;??\ _z_ł_-;_-@_-"/>
    <numFmt numFmtId="165" formatCode="#,##0.00\ &quot;zł&quot;"/>
    <numFmt numFmtId="166" formatCode="#,##0.00\ _z_ł"/>
    <numFmt numFmtId="167" formatCode="#,##0.00_ ;\-#,##0.00\ "/>
    <numFmt numFmtId="168" formatCode="#,##0.0"/>
  </numFmts>
  <fonts count="66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indexed="8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indexed="10"/>
      <name val="Calibri"/>
      <family val="2"/>
      <charset val="238"/>
    </font>
    <font>
      <sz val="8"/>
      <color indexed="10"/>
      <name val="Arial"/>
      <family val="2"/>
      <charset val="238"/>
    </font>
    <font>
      <b/>
      <sz val="8"/>
      <color indexed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4"/>
      <name val="Arial"/>
      <family val="2"/>
      <charset val="238"/>
    </font>
    <font>
      <b/>
      <sz val="14"/>
      <color indexed="30"/>
      <name val="Arial"/>
      <family val="2"/>
      <charset val="238"/>
    </font>
    <font>
      <b/>
      <sz val="10"/>
      <color indexed="30"/>
      <name val="Arial"/>
      <family val="2"/>
      <charset val="238"/>
    </font>
    <font>
      <b/>
      <sz val="14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8"/>
      <color indexed="12"/>
      <name val="Arial"/>
      <family val="2"/>
      <charset val="238"/>
    </font>
    <font>
      <sz val="8"/>
      <color indexed="12"/>
      <name val="Arial"/>
      <family val="2"/>
      <charset val="238"/>
    </font>
    <font>
      <b/>
      <u/>
      <sz val="11"/>
      <color indexed="10"/>
      <name val="Calibri"/>
      <family val="2"/>
      <charset val="238"/>
    </font>
    <font>
      <sz val="9"/>
      <color indexed="63"/>
      <name val="Arial"/>
      <family val="2"/>
      <charset val="238"/>
    </font>
    <font>
      <b/>
      <sz val="11"/>
      <color rgb="FFFF0000"/>
      <name val="Aptos Narrow"/>
      <family val="2"/>
      <charset val="238"/>
      <scheme val="minor"/>
    </font>
    <font>
      <sz val="8"/>
      <color rgb="FF00B050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ptos Narrow"/>
      <family val="2"/>
      <charset val="238"/>
      <scheme val="minor"/>
    </font>
    <font>
      <b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8"/>
      <color rgb="FF0070C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color rgb="FF0070C0"/>
      <name val="Arial"/>
      <family val="2"/>
      <charset val="238"/>
    </font>
    <font>
      <sz val="11"/>
      <color rgb="FF00B050"/>
      <name val="Aptos Narrow"/>
      <family val="2"/>
      <charset val="238"/>
      <scheme val="minor"/>
    </font>
    <font>
      <sz val="9"/>
      <color rgb="FFFF0000"/>
      <name val="Aptos Narrow"/>
      <family val="2"/>
      <charset val="238"/>
      <scheme val="minor"/>
    </font>
    <font>
      <b/>
      <sz val="11"/>
      <color rgb="FF0070C0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b/>
      <sz val="10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</font>
    <font>
      <b/>
      <sz val="14"/>
      <color rgb="FFFF0000"/>
      <name val="Aptos Narrow"/>
      <family val="2"/>
      <charset val="238"/>
      <scheme val="minor"/>
    </font>
    <font>
      <sz val="9"/>
      <color theme="1"/>
      <name val="Aptos Narrow"/>
      <family val="2"/>
      <scheme val="minor"/>
    </font>
    <font>
      <sz val="8"/>
      <color rgb="FF000000"/>
      <name val="Arial"/>
      <family val="2"/>
      <charset val="238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sz val="7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rgb="FF000000"/>
      <name val="Arial"/>
      <family val="2"/>
      <charset val="238"/>
    </font>
    <font>
      <sz val="10"/>
      <name val="Arial CE"/>
      <charset val="238"/>
    </font>
    <font>
      <b/>
      <sz val="10"/>
      <name val="Aptos Narrow"/>
      <family val="2"/>
      <charset val="238"/>
      <scheme val="minor"/>
    </font>
    <font>
      <b/>
      <sz val="9"/>
      <color theme="1"/>
      <name val="Aptos Narrow"/>
      <family val="2"/>
      <charset val="238"/>
      <scheme val="minor"/>
    </font>
    <font>
      <sz val="9"/>
      <name val="Arial Narrow"/>
      <family val="2"/>
      <charset val="238"/>
    </font>
    <font>
      <b/>
      <sz val="11"/>
      <name val="Aptos Narrow"/>
      <family val="2"/>
      <charset val="238"/>
      <scheme val="minor"/>
    </font>
    <font>
      <sz val="10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sz val="8"/>
      <name val="Aptos Narrow"/>
      <family val="2"/>
      <scheme val="minor"/>
    </font>
    <font>
      <sz val="8"/>
      <name val="Arial"/>
      <charset val="238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57" fillId="0" borderId="0"/>
    <xf numFmtId="164" fontId="1" fillId="0" borderId="0" applyFont="0" applyFill="0" applyBorder="0" applyAlignment="0" applyProtection="0"/>
  </cellStyleXfs>
  <cellXfs count="952">
    <xf numFmtId="0" fontId="0" fillId="0" borderId="0" xfId="0"/>
    <xf numFmtId="164" fontId="4" fillId="0" borderId="4" xfId="3" applyFont="1" applyFill="1" applyBorder="1"/>
    <xf numFmtId="164" fontId="27" fillId="4" borderId="4" xfId="3" applyFont="1" applyFill="1" applyBorder="1"/>
    <xf numFmtId="164" fontId="4" fillId="4" borderId="4" xfId="3" applyFont="1" applyFill="1" applyBorder="1"/>
    <xf numFmtId="164" fontId="27" fillId="0" borderId="4" xfId="3" applyFont="1" applyFill="1" applyBorder="1"/>
    <xf numFmtId="0" fontId="44" fillId="4" borderId="0" xfId="0" applyFont="1" applyFill="1"/>
    <xf numFmtId="10" fontId="0" fillId="0" borderId="0" xfId="0" applyNumberFormat="1"/>
    <xf numFmtId="0" fontId="0" fillId="0" borderId="0" xfId="0" applyAlignment="1">
      <alignment horizontal="center" wrapText="1"/>
    </xf>
    <xf numFmtId="0" fontId="4" fillId="7" borderId="39" xfId="0" applyFont="1" applyFill="1" applyBorder="1" applyAlignment="1">
      <alignment horizontal="center" wrapText="1"/>
    </xf>
    <xf numFmtId="0" fontId="0" fillId="7" borderId="40" xfId="0" applyFill="1" applyBorder="1"/>
    <xf numFmtId="0" fontId="0" fillId="0" borderId="18" xfId="0" applyBorder="1" applyAlignment="1">
      <alignment horizontal="center" wrapText="1"/>
    </xf>
    <xf numFmtId="0" fontId="0" fillId="0" borderId="3" xfId="0" applyBorder="1"/>
    <xf numFmtId="10" fontId="0" fillId="0" borderId="3" xfId="0" applyNumberFormat="1" applyBorder="1"/>
    <xf numFmtId="0" fontId="0" fillId="0" borderId="44" xfId="0" applyBorder="1" applyAlignment="1">
      <alignment horizontal="center" wrapText="1"/>
    </xf>
    <xf numFmtId="0" fontId="0" fillId="0" borderId="5" xfId="0" applyBorder="1"/>
    <xf numFmtId="10" fontId="0" fillId="0" borderId="5" xfId="0" applyNumberFormat="1" applyBorder="1"/>
    <xf numFmtId="164" fontId="4" fillId="4" borderId="35" xfId="3" applyFont="1" applyFill="1" applyBorder="1"/>
    <xf numFmtId="0" fontId="45" fillId="0" borderId="0" xfId="0" applyFont="1" applyAlignment="1">
      <alignment horizontal="center"/>
    </xf>
    <xf numFmtId="0" fontId="27" fillId="0" borderId="0" xfId="0" applyFont="1"/>
    <xf numFmtId="0" fontId="44" fillId="0" borderId="0" xfId="0" applyFont="1"/>
    <xf numFmtId="0" fontId="4" fillId="7" borderId="39" xfId="0" applyFont="1" applyFill="1" applyBorder="1"/>
    <xf numFmtId="0" fontId="0" fillId="0" borderId="40" xfId="0" applyBorder="1"/>
    <xf numFmtId="0" fontId="0" fillId="0" borderId="18" xfId="0" applyBorder="1"/>
    <xf numFmtId="0" fontId="0" fillId="5" borderId="3" xfId="0" applyFill="1" applyBorder="1"/>
    <xf numFmtId="10" fontId="0" fillId="5" borderId="3" xfId="0" applyNumberFormat="1" applyFill="1" applyBorder="1"/>
    <xf numFmtId="0" fontId="0" fillId="0" borderId="44" xfId="0" applyBorder="1"/>
    <xf numFmtId="0" fontId="0" fillId="5" borderId="5" xfId="0" applyFill="1" applyBorder="1"/>
    <xf numFmtId="10" fontId="0" fillId="5" borderId="5" xfId="0" applyNumberFormat="1" applyFill="1" applyBorder="1"/>
    <xf numFmtId="0" fontId="4" fillId="0" borderId="0" xfId="0" applyFont="1"/>
    <xf numFmtId="0" fontId="4" fillId="7" borderId="39" xfId="0" applyFont="1" applyFill="1" applyBorder="1" applyAlignment="1">
      <alignment horizontal="center" vertical="center" wrapText="1"/>
    </xf>
    <xf numFmtId="0" fontId="4" fillId="7" borderId="40" xfId="0" applyFont="1" applyFill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5" xfId="0" applyNumberFormat="1" applyBorder="1" applyAlignment="1">
      <alignment vertical="center"/>
    </xf>
    <xf numFmtId="0" fontId="0" fillId="14" borderId="44" xfId="0" applyFill="1" applyBorder="1" applyAlignment="1">
      <alignment horizontal="center" wrapText="1"/>
    </xf>
    <xf numFmtId="0" fontId="0" fillId="14" borderId="5" xfId="0" applyFill="1" applyBorder="1"/>
    <xf numFmtId="44" fontId="0" fillId="14" borderId="5" xfId="0" applyNumberFormat="1" applyFill="1" applyBorder="1" applyAlignment="1">
      <alignment vertical="center"/>
    </xf>
    <xf numFmtId="10" fontId="0" fillId="14" borderId="5" xfId="0" applyNumberFormat="1" applyFill="1" applyBorder="1"/>
    <xf numFmtId="0" fontId="0" fillId="7" borderId="3" xfId="0" applyFill="1" applyBorder="1" applyAlignment="1">
      <alignment wrapText="1"/>
    </xf>
    <xf numFmtId="0" fontId="4" fillId="7" borderId="3" xfId="0" applyFont="1" applyFill="1" applyBorder="1" applyAlignment="1">
      <alignment vertical="top" wrapText="1"/>
    </xf>
    <xf numFmtId="0" fontId="4" fillId="7" borderId="3" xfId="0" applyFont="1" applyFill="1" applyBorder="1" applyAlignment="1">
      <alignment horizontal="center" vertical="center" wrapText="1"/>
    </xf>
    <xf numFmtId="0" fontId="32" fillId="0" borderId="0" xfId="0" applyFont="1"/>
    <xf numFmtId="0" fontId="7" fillId="0" borderId="3" xfId="0" applyFont="1" applyBorder="1" applyAlignment="1" applyProtection="1">
      <alignment horizontal="left" vertical="top" wrapText="1"/>
      <protection locked="0"/>
    </xf>
    <xf numFmtId="2" fontId="8" fillId="0" borderId="3" xfId="0" applyNumberFormat="1" applyFont="1" applyBorder="1" applyAlignment="1">
      <alignment horizontal="left" vertical="center" wrapText="1"/>
    </xf>
    <xf numFmtId="0" fontId="0" fillId="5" borderId="3" xfId="0" applyFill="1" applyBorder="1" applyAlignment="1">
      <alignment wrapText="1"/>
    </xf>
    <xf numFmtId="44" fontId="0" fillId="0" borderId="3" xfId="0" applyNumberForma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4" fontId="0" fillId="5" borderId="3" xfId="0" applyNumberFormat="1" applyFill="1" applyBorder="1" applyAlignment="1">
      <alignment horizontal="center" vertical="center" wrapText="1"/>
    </xf>
    <xf numFmtId="44" fontId="0" fillId="4" borderId="3" xfId="0" applyNumberForma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left" vertical="center" wrapText="1"/>
    </xf>
    <xf numFmtId="0" fontId="0" fillId="17" borderId="3" xfId="0" applyFill="1" applyBorder="1"/>
    <xf numFmtId="0" fontId="8" fillId="0" borderId="3" xfId="0" applyFont="1" applyBorder="1" applyAlignment="1">
      <alignment vertical="center" wrapText="1"/>
    </xf>
    <xf numFmtId="44" fontId="0" fillId="0" borderId="8" xfId="0" applyNumberFormat="1" applyBorder="1"/>
    <xf numFmtId="44" fontId="0" fillId="0" borderId="6" xfId="0" applyNumberFormat="1" applyBorder="1"/>
    <xf numFmtId="0" fontId="4" fillId="6" borderId="36" xfId="0" applyFont="1" applyFill="1" applyBorder="1" applyAlignment="1">
      <alignment wrapText="1"/>
    </xf>
    <xf numFmtId="0" fontId="4" fillId="6" borderId="37" xfId="0" applyFont="1" applyFill="1" applyBorder="1" applyAlignment="1">
      <alignment horizontal="center" vertical="center" wrapText="1"/>
    </xf>
    <xf numFmtId="0" fontId="4" fillId="6" borderId="52" xfId="0" applyFont="1" applyFill="1" applyBorder="1" applyAlignment="1">
      <alignment horizontal="center" vertical="center" wrapText="1"/>
    </xf>
    <xf numFmtId="0" fontId="42" fillId="0" borderId="0" xfId="0" applyFont="1"/>
    <xf numFmtId="0" fontId="4" fillId="15" borderId="33" xfId="0" applyFont="1" applyFill="1" applyBorder="1"/>
    <xf numFmtId="0" fontId="0" fillId="0" borderId="14" xfId="0" applyBorder="1"/>
    <xf numFmtId="10" fontId="0" fillId="0" borderId="14" xfId="0" applyNumberFormat="1" applyBorder="1"/>
    <xf numFmtId="2" fontId="0" fillId="0" borderId="14" xfId="0" applyNumberFormat="1" applyBorder="1"/>
    <xf numFmtId="17" fontId="32" fillId="0" borderId="0" xfId="0" applyNumberFormat="1" applyFont="1"/>
    <xf numFmtId="2" fontId="0" fillId="0" borderId="25" xfId="0" applyNumberFormat="1" applyBorder="1"/>
    <xf numFmtId="0" fontId="43" fillId="6" borderId="12" xfId="0" applyFont="1" applyFill="1" applyBorder="1" applyAlignment="1">
      <alignment wrapText="1"/>
    </xf>
    <xf numFmtId="0" fontId="4" fillId="15" borderId="18" xfId="0" applyFont="1" applyFill="1" applyBorder="1"/>
    <xf numFmtId="2" fontId="0" fillId="0" borderId="24" xfId="0" applyNumberFormat="1" applyBorder="1"/>
    <xf numFmtId="0" fontId="42" fillId="0" borderId="8" xfId="0" applyFont="1" applyBorder="1" applyAlignment="1">
      <alignment wrapText="1"/>
    </xf>
    <xf numFmtId="44" fontId="42" fillId="0" borderId="8" xfId="0" applyNumberFormat="1" applyFont="1" applyBorder="1"/>
    <xf numFmtId="0" fontId="42" fillId="0" borderId="6" xfId="0" applyFont="1" applyBorder="1" applyAlignment="1">
      <alignment wrapText="1"/>
    </xf>
    <xf numFmtId="44" fontId="42" fillId="0" borderId="6" xfId="0" applyNumberFormat="1" applyFont="1" applyBorder="1"/>
    <xf numFmtId="0" fontId="4" fillId="15" borderId="44" xfId="0" applyFont="1" applyFill="1" applyBorder="1"/>
    <xf numFmtId="0" fontId="0" fillId="0" borderId="53" xfId="0" applyBorder="1"/>
    <xf numFmtId="10" fontId="0" fillId="0" borderId="53" xfId="0" applyNumberFormat="1" applyBorder="1"/>
    <xf numFmtId="0" fontId="0" fillId="0" borderId="54" xfId="0" applyBorder="1"/>
    <xf numFmtId="2" fontId="0" fillId="0" borderId="30" xfId="0" applyNumberFormat="1" applyBorder="1"/>
    <xf numFmtId="0" fontId="42" fillId="0" borderId="7" xfId="0" applyFont="1" applyBorder="1" applyAlignment="1">
      <alignment wrapText="1"/>
    </xf>
    <xf numFmtId="44" fontId="42" fillId="0" borderId="7" xfId="0" applyNumberFormat="1" applyFont="1" applyBorder="1"/>
    <xf numFmtId="0" fontId="4" fillId="6" borderId="39" xfId="0" applyFont="1" applyFill="1" applyBorder="1" applyAlignment="1">
      <alignment wrapText="1"/>
    </xf>
    <xf numFmtId="0" fontId="4" fillId="6" borderId="40" xfId="0" applyFont="1" applyFill="1" applyBorder="1" applyAlignment="1">
      <alignment horizontal="center" vertical="center" wrapText="1"/>
    </xf>
    <xf numFmtId="0" fontId="42" fillId="0" borderId="0" xfId="0" applyFont="1" applyAlignment="1">
      <alignment wrapText="1"/>
    </xf>
    <xf numFmtId="44" fontId="42" fillId="0" borderId="0" xfId="0" applyNumberFormat="1" applyFont="1"/>
    <xf numFmtId="2" fontId="0" fillId="0" borderId="3" xfId="0" applyNumberFormat="1" applyBorder="1"/>
    <xf numFmtId="0" fontId="42" fillId="0" borderId="56" xfId="0" applyFont="1" applyBorder="1" applyAlignment="1">
      <alignment wrapText="1"/>
    </xf>
    <xf numFmtId="44" fontId="42" fillId="0" borderId="42" xfId="0" applyNumberFormat="1" applyFont="1" applyBorder="1"/>
    <xf numFmtId="0" fontId="42" fillId="0" borderId="57" xfId="0" applyFont="1" applyBorder="1" applyAlignment="1">
      <alignment wrapText="1"/>
    </xf>
    <xf numFmtId="0" fontId="42" fillId="0" borderId="58" xfId="0" applyFont="1" applyBorder="1" applyAlignment="1">
      <alignment wrapText="1"/>
    </xf>
    <xf numFmtId="2" fontId="0" fillId="0" borderId="5" xfId="0" applyNumberFormat="1" applyBorder="1"/>
    <xf numFmtId="0" fontId="4" fillId="6" borderId="59" xfId="0" applyFont="1" applyFill="1" applyBorder="1" applyAlignment="1">
      <alignment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2" fontId="0" fillId="5" borderId="3" xfId="0" applyNumberFormat="1" applyFill="1" applyBorder="1"/>
    <xf numFmtId="4" fontId="0" fillId="0" borderId="3" xfId="0" applyNumberFormat="1" applyBorder="1"/>
    <xf numFmtId="4" fontId="0" fillId="0" borderId="5" xfId="0" applyNumberFormat="1" applyBorder="1"/>
    <xf numFmtId="0" fontId="0" fillId="0" borderId="32" xfId="0" applyBorder="1"/>
    <xf numFmtId="0" fontId="4" fillId="6" borderId="36" xfId="0" applyFont="1" applyFill="1" applyBorder="1"/>
    <xf numFmtId="0" fontId="43" fillId="6" borderId="36" xfId="0" applyFont="1" applyFill="1" applyBorder="1"/>
    <xf numFmtId="0" fontId="43" fillId="6" borderId="38" xfId="0" applyFont="1" applyFill="1" applyBorder="1"/>
    <xf numFmtId="0" fontId="42" fillId="0" borderId="3" xfId="0" applyFont="1" applyBorder="1" applyAlignment="1">
      <alignment wrapText="1"/>
    </xf>
    <xf numFmtId="0" fontId="0" fillId="5" borderId="14" xfId="0" applyFill="1" applyBorder="1"/>
    <xf numFmtId="164" fontId="4" fillId="4" borderId="34" xfId="3" applyFont="1" applyFill="1" applyBorder="1"/>
    <xf numFmtId="0" fontId="42" fillId="0" borderId="14" xfId="0" applyFont="1" applyBorder="1" applyAlignment="1">
      <alignment wrapText="1"/>
    </xf>
    <xf numFmtId="44" fontId="42" fillId="0" borderId="14" xfId="0" applyNumberFormat="1" applyFont="1" applyBorder="1"/>
    <xf numFmtId="44" fontId="42" fillId="0" borderId="3" xfId="0" applyNumberFormat="1" applyFont="1" applyBorder="1"/>
    <xf numFmtId="0" fontId="42" fillId="0" borderId="20" xfId="0" applyFont="1" applyBorder="1" applyAlignment="1">
      <alignment wrapText="1"/>
    </xf>
    <xf numFmtId="44" fontId="42" fillId="0" borderId="20" xfId="0" applyNumberFormat="1" applyFont="1" applyBorder="1"/>
    <xf numFmtId="165" fontId="42" fillId="0" borderId="3" xfId="0" applyNumberFormat="1" applyFont="1" applyBorder="1"/>
    <xf numFmtId="17" fontId="4" fillId="0" borderId="0" xfId="0" applyNumberFormat="1" applyFont="1"/>
    <xf numFmtId="0" fontId="42" fillId="0" borderId="14" xfId="0" applyFont="1" applyBorder="1"/>
    <xf numFmtId="0" fontId="42" fillId="0" borderId="3" xfId="0" applyFont="1" applyBorder="1"/>
    <xf numFmtId="0" fontId="42" fillId="0" borderId="20" xfId="0" applyFont="1" applyBorder="1"/>
    <xf numFmtId="0" fontId="43" fillId="6" borderId="36" xfId="0" applyFont="1" applyFill="1" applyBorder="1" applyAlignment="1">
      <alignment wrapText="1"/>
    </xf>
    <xf numFmtId="0" fontId="42" fillId="5" borderId="32" xfId="0" applyFont="1" applyFill="1" applyBorder="1" applyAlignment="1">
      <alignment wrapText="1"/>
    </xf>
    <xf numFmtId="44" fontId="42" fillId="0" borderId="32" xfId="0" applyNumberFormat="1" applyFont="1" applyBorder="1"/>
    <xf numFmtId="16" fontId="4" fillId="15" borderId="33" xfId="0" applyNumberFormat="1" applyFont="1" applyFill="1" applyBorder="1" applyAlignment="1">
      <alignment wrapText="1"/>
    </xf>
    <xf numFmtId="4" fontId="0" fillId="0" borderId="14" xfId="0" applyNumberFormat="1" applyBorder="1"/>
    <xf numFmtId="0" fontId="4" fillId="6" borderId="12" xfId="0" applyFont="1" applyFill="1" applyBorder="1" applyAlignment="1">
      <alignment wrapText="1"/>
    </xf>
    <xf numFmtId="0" fontId="4" fillId="6" borderId="60" xfId="0" applyFont="1" applyFill="1" applyBorder="1" applyAlignment="1">
      <alignment horizontal="center" vertical="center" wrapText="1"/>
    </xf>
    <xf numFmtId="16" fontId="4" fillId="15" borderId="8" xfId="0" applyNumberFormat="1" applyFont="1" applyFill="1" applyBorder="1" applyAlignment="1">
      <alignment wrapText="1"/>
    </xf>
    <xf numFmtId="4" fontId="0" fillId="0" borderId="51" xfId="0" applyNumberFormat="1" applyBorder="1"/>
    <xf numFmtId="2" fontId="26" fillId="3" borderId="14" xfId="0" applyNumberFormat="1" applyFont="1" applyFill="1" applyBorder="1" applyAlignment="1" applyProtection="1">
      <alignment horizontal="center"/>
      <protection locked="0"/>
    </xf>
    <xf numFmtId="4" fontId="0" fillId="0" borderId="25" xfId="0" applyNumberFormat="1" applyBorder="1"/>
    <xf numFmtId="0" fontId="4" fillId="15" borderId="6" xfId="0" applyFont="1" applyFill="1" applyBorder="1"/>
    <xf numFmtId="4" fontId="0" fillId="0" borderId="19" xfId="0" applyNumberFormat="1" applyBorder="1"/>
    <xf numFmtId="2" fontId="26" fillId="3" borderId="3" xfId="0" applyNumberFormat="1" applyFont="1" applyFill="1" applyBorder="1" applyAlignment="1" applyProtection="1">
      <alignment horizontal="center"/>
      <protection locked="0"/>
    </xf>
    <xf numFmtId="4" fontId="0" fillId="0" borderId="24" xfId="0" applyNumberFormat="1" applyBorder="1"/>
    <xf numFmtId="0" fontId="4" fillId="15" borderId="7" xfId="0" applyFont="1" applyFill="1" applyBorder="1"/>
    <xf numFmtId="4" fontId="0" fillId="0" borderId="29" xfId="0" applyNumberFormat="1" applyBorder="1"/>
    <xf numFmtId="2" fontId="26" fillId="3" borderId="5" xfId="0" applyNumberFormat="1" applyFont="1" applyFill="1" applyBorder="1" applyAlignment="1" applyProtection="1">
      <alignment horizontal="center"/>
      <protection locked="0"/>
    </xf>
    <xf numFmtId="4" fontId="0" fillId="0" borderId="30" xfId="0" applyNumberFormat="1" applyBorder="1"/>
    <xf numFmtId="16" fontId="4" fillId="15" borderId="6" xfId="0" applyNumberFormat="1" applyFont="1" applyFill="1" applyBorder="1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4" fillId="4" borderId="0" xfId="0" quotePrefix="1" applyNumberFormat="1" applyFont="1" applyFill="1" applyAlignment="1">
      <alignment wrapText="1"/>
    </xf>
    <xf numFmtId="4" fontId="0" fillId="0" borderId="0" xfId="0" applyNumberFormat="1"/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4" fontId="0" fillId="4" borderId="3" xfId="0" applyNumberFormat="1" applyFill="1" applyBorder="1"/>
    <xf numFmtId="4" fontId="4" fillId="4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" fontId="4" fillId="0" borderId="3" xfId="0" applyNumberFormat="1" applyFont="1" applyBorder="1"/>
    <xf numFmtId="4" fontId="0" fillId="0" borderId="0" xfId="0" applyNumberFormat="1" applyAlignment="1">
      <alignment horizontal="center"/>
    </xf>
    <xf numFmtId="4" fontId="0" fillId="13" borderId="3" xfId="0" applyNumberFormat="1" applyFill="1" applyBorder="1"/>
    <xf numFmtId="4" fontId="4" fillId="0" borderId="3" xfId="0" applyNumberFormat="1" applyFont="1" applyBorder="1" applyAlignment="1">
      <alignment horizontal="center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4" fontId="0" fillId="7" borderId="3" xfId="0" applyNumberFormat="1" applyFill="1" applyBorder="1"/>
    <xf numFmtId="4" fontId="4" fillId="7" borderId="3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49" fontId="4" fillId="4" borderId="3" xfId="0" quotePrefix="1" applyNumberFormat="1" applyFont="1" applyFill="1" applyBorder="1" applyAlignment="1">
      <alignment wrapText="1"/>
    </xf>
    <xf numFmtId="0" fontId="0" fillId="16" borderId="3" xfId="0" applyFill="1" applyBorder="1"/>
    <xf numFmtId="0" fontId="0" fillId="16" borderId="3" xfId="0" applyFill="1" applyBorder="1" applyAlignment="1">
      <alignment horizontal="center"/>
    </xf>
    <xf numFmtId="4" fontId="0" fillId="16" borderId="3" xfId="0" applyNumberFormat="1" applyFill="1" applyBorder="1"/>
    <xf numFmtId="4" fontId="4" fillId="16" borderId="3" xfId="0" applyNumberFormat="1" applyFont="1" applyFill="1" applyBorder="1" applyAlignment="1">
      <alignment horizontal="center"/>
    </xf>
    <xf numFmtId="49" fontId="4" fillId="4" borderId="0" xfId="0" applyNumberFormat="1" applyFont="1" applyFill="1"/>
    <xf numFmtId="0" fontId="0" fillId="6" borderId="3" xfId="0" applyFill="1" applyBorder="1"/>
    <xf numFmtId="0" fontId="0" fillId="6" borderId="3" xfId="0" applyFill="1" applyBorder="1" applyAlignment="1">
      <alignment horizontal="center"/>
    </xf>
    <xf numFmtId="4" fontId="0" fillId="6" borderId="3" xfId="0" applyNumberFormat="1" applyFill="1" applyBorder="1"/>
    <xf numFmtId="4" fontId="4" fillId="6" borderId="3" xfId="0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0" fillId="17" borderId="3" xfId="0" applyFill="1" applyBorder="1" applyAlignment="1">
      <alignment horizontal="center"/>
    </xf>
    <xf numFmtId="4" fontId="0" fillId="17" borderId="3" xfId="0" applyNumberFormat="1" applyFill="1" applyBorder="1"/>
    <xf numFmtId="4" fontId="4" fillId="17" borderId="3" xfId="0" applyNumberFormat="1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0" xfId="0" applyFill="1"/>
    <xf numFmtId="4" fontId="0" fillId="4" borderId="0" xfId="0" applyNumberFormat="1" applyFill="1"/>
    <xf numFmtId="4" fontId="4" fillId="0" borderId="32" xfId="0" applyNumberFormat="1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4" fontId="4" fillId="0" borderId="32" xfId="0" applyNumberFormat="1" applyFont="1" applyBorder="1"/>
    <xf numFmtId="4" fontId="0" fillId="0" borderId="3" xfId="0" applyNumberFormat="1" applyBorder="1" applyAlignment="1">
      <alignment vertical="center"/>
    </xf>
    <xf numFmtId="49" fontId="4" fillId="4" borderId="0" xfId="0" applyNumberFormat="1" applyFont="1" applyFill="1" applyAlignment="1">
      <alignment wrapText="1"/>
    </xf>
    <xf numFmtId="49" fontId="4" fillId="4" borderId="0" xfId="0" applyNumberFormat="1" applyFont="1" applyFill="1" applyAlignment="1">
      <alignment horizontal="center" wrapText="1"/>
    </xf>
    <xf numFmtId="0" fontId="0" fillId="0" borderId="31" xfId="0" applyBorder="1" applyAlignment="1">
      <alignment horizontal="center"/>
    </xf>
    <xf numFmtId="4" fontId="0" fillId="0" borderId="0" xfId="0" applyNumberFormat="1" applyAlignment="1">
      <alignment vertic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14" borderId="0" xfId="0" applyFont="1" applyFill="1"/>
    <xf numFmtId="0" fontId="4" fillId="14" borderId="0" xfId="0" applyFont="1" applyFill="1" applyAlignment="1">
      <alignment horizontal="center"/>
    </xf>
    <xf numFmtId="4" fontId="4" fillId="14" borderId="0" xfId="0" applyNumberFormat="1" applyFont="1" applyFill="1" applyAlignment="1">
      <alignment vertical="center"/>
    </xf>
    <xf numFmtId="4" fontId="4" fillId="14" borderId="0" xfId="0" applyNumberFormat="1" applyFont="1" applyFill="1"/>
    <xf numFmtId="3" fontId="4" fillId="14" borderId="0" xfId="0" applyNumberFormat="1" applyFont="1" applyFill="1" applyAlignment="1">
      <alignment horizontal="center"/>
    </xf>
    <xf numFmtId="0" fontId="4" fillId="14" borderId="0" xfId="0" applyFont="1" applyFill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/>
    </xf>
    <xf numFmtId="3" fontId="4" fillId="0" borderId="3" xfId="0" applyNumberFormat="1" applyFont="1" applyBorder="1" applyAlignment="1">
      <alignment horizontal="center"/>
    </xf>
    <xf numFmtId="4" fontId="4" fillId="15" borderId="3" xfId="0" applyNumberFormat="1" applyFont="1" applyFill="1" applyBorder="1"/>
    <xf numFmtId="4" fontId="0" fillId="0" borderId="0" xfId="0" applyNumberFormat="1" applyAlignment="1">
      <alignment horizontal="center" vertical="center"/>
    </xf>
    <xf numFmtId="0" fontId="39" fillId="0" borderId="3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4" fontId="4" fillId="4" borderId="0" xfId="0" applyNumberFormat="1" applyFont="1" applyFill="1"/>
    <xf numFmtId="3" fontId="4" fillId="0" borderId="32" xfId="0" applyNumberFormat="1" applyFont="1" applyBorder="1" applyAlignment="1">
      <alignment horizontal="center"/>
    </xf>
    <xf numFmtId="4" fontId="4" fillId="0" borderId="14" xfId="0" applyNumberFormat="1" applyFont="1" applyBorder="1"/>
    <xf numFmtId="4" fontId="4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" fontId="3" fillId="0" borderId="0" xfId="0" applyNumberFormat="1" applyFont="1"/>
    <xf numFmtId="4" fontId="4" fillId="0" borderId="0" xfId="0" applyNumberFormat="1" applyFont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4" fontId="0" fillId="14" borderId="0" xfId="0" applyNumberFormat="1" applyFill="1" applyAlignment="1">
      <alignment vertical="center"/>
    </xf>
    <xf numFmtId="4" fontId="0" fillId="14" borderId="0" xfId="0" applyNumberFormat="1" applyFill="1"/>
    <xf numFmtId="0" fontId="0" fillId="14" borderId="0" xfId="0" applyFill="1" applyAlignment="1">
      <alignment horizontal="center" vertical="center"/>
    </xf>
    <xf numFmtId="4" fontId="4" fillId="4" borderId="3" xfId="0" applyNumberFormat="1" applyFont="1" applyFill="1" applyBorder="1"/>
    <xf numFmtId="0" fontId="4" fillId="4" borderId="0" xfId="0" applyFont="1" applyFill="1" applyAlignment="1">
      <alignment horizontal="center" wrapText="1"/>
    </xf>
    <xf numFmtId="17" fontId="4" fillId="4" borderId="0" xfId="0" applyNumberFormat="1" applyFont="1" applyFill="1" applyAlignment="1">
      <alignment horizontal="center" vertical="center"/>
    </xf>
    <xf numFmtId="0" fontId="27" fillId="4" borderId="0" xfId="0" applyFont="1" applyFill="1"/>
    <xf numFmtId="0" fontId="4" fillId="0" borderId="0" xfId="0" applyFont="1" applyAlignment="1">
      <alignment horizontal="center" wrapText="1"/>
    </xf>
    <xf numFmtId="17" fontId="4" fillId="0" borderId="0" xfId="0" applyNumberFormat="1" applyFont="1" applyAlignment="1">
      <alignment horizontal="center" vertical="center"/>
    </xf>
    <xf numFmtId="0" fontId="3" fillId="0" borderId="3" xfId="0" applyFont="1" applyBorder="1"/>
    <xf numFmtId="0" fontId="3" fillId="0" borderId="0" xfId="0" applyFont="1"/>
    <xf numFmtId="4" fontId="29" fillId="0" borderId="3" xfId="0" applyNumberFormat="1" applyFont="1" applyBorder="1" applyAlignment="1">
      <alignment vertical="center"/>
    </xf>
    <xf numFmtId="4" fontId="29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3" fillId="0" borderId="3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4" fillId="8" borderId="3" xfId="0" applyFont="1" applyFill="1" applyBorder="1"/>
    <xf numFmtId="164" fontId="4" fillId="8" borderId="24" xfId="3" applyFont="1" applyFill="1" applyBorder="1"/>
    <xf numFmtId="0" fontId="0" fillId="0" borderId="0" xfId="0" applyAlignment="1">
      <alignment wrapText="1"/>
    </xf>
    <xf numFmtId="0" fontId="4" fillId="8" borderId="18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164" fontId="0" fillId="0" borderId="0" xfId="0" applyNumberFormat="1"/>
    <xf numFmtId="164" fontId="4" fillId="4" borderId="3" xfId="0" applyNumberFormat="1" applyFont="1" applyFill="1" applyBorder="1"/>
    <xf numFmtId="0" fontId="7" fillId="0" borderId="14" xfId="0" applyFont="1" applyBorder="1" applyAlignment="1">
      <alignment horizontal="left" vertical="center" wrapText="1"/>
    </xf>
    <xf numFmtId="0" fontId="4" fillId="8" borderId="14" xfId="0" applyFont="1" applyFill="1" applyBorder="1"/>
    <xf numFmtId="0" fontId="4" fillId="8" borderId="14" xfId="0" applyFont="1" applyFill="1" applyBorder="1" applyAlignment="1">
      <alignment horizontal="center"/>
    </xf>
    <xf numFmtId="164" fontId="4" fillId="4" borderId="25" xfId="3" applyFont="1" applyFill="1" applyBorder="1"/>
    <xf numFmtId="17" fontId="0" fillId="0" borderId="3" xfId="0" applyNumberFormat="1" applyBorder="1"/>
    <xf numFmtId="0" fontId="7" fillId="0" borderId="3" xfId="0" applyFont="1" applyBorder="1" applyAlignment="1">
      <alignment horizontal="left" vertical="center" wrapText="1"/>
    </xf>
    <xf numFmtId="164" fontId="4" fillId="4" borderId="24" xfId="3" applyFont="1" applyFill="1" applyBorder="1"/>
    <xf numFmtId="0" fontId="32" fillId="0" borderId="3" xfId="0" applyFont="1" applyBorder="1"/>
    <xf numFmtId="0" fontId="4" fillId="8" borderId="19" xfId="0" applyFont="1" applyFill="1" applyBorder="1" applyAlignment="1">
      <alignment horizontal="center"/>
    </xf>
    <xf numFmtId="164" fontId="4" fillId="4" borderId="3" xfId="3" applyFont="1" applyFill="1" applyBorder="1"/>
    <xf numFmtId="0" fontId="0" fillId="0" borderId="15" xfId="0" applyBorder="1"/>
    <xf numFmtId="0" fontId="0" fillId="0" borderId="1" xfId="0" applyBorder="1"/>
    <xf numFmtId="0" fontId="0" fillId="0" borderId="20" xfId="0" applyBorder="1"/>
    <xf numFmtId="0" fontId="4" fillId="6" borderId="3" xfId="0" applyFont="1" applyFill="1" applyBorder="1"/>
    <xf numFmtId="164" fontId="4" fillId="6" borderId="3" xfId="3" applyFont="1" applyFill="1" applyBorder="1"/>
    <xf numFmtId="17" fontId="27" fillId="4" borderId="0" xfId="0" applyNumberFormat="1" applyFont="1" applyFill="1" applyAlignment="1">
      <alignment horizontal="right"/>
    </xf>
    <xf numFmtId="0" fontId="27" fillId="4" borderId="0" xfId="0" applyFont="1" applyFill="1" applyAlignment="1">
      <alignment horizontal="left"/>
    </xf>
    <xf numFmtId="17" fontId="29" fillId="0" borderId="0" xfId="0" applyNumberFormat="1" applyFont="1"/>
    <xf numFmtId="17" fontId="0" fillId="0" borderId="0" xfId="0" applyNumberFormat="1"/>
    <xf numFmtId="0" fontId="4" fillId="6" borderId="3" xfId="0" applyFont="1" applyFill="1" applyBorder="1" applyAlignment="1">
      <alignment wrapText="1"/>
    </xf>
    <xf numFmtId="0" fontId="4" fillId="6" borderId="3" xfId="0" applyFont="1" applyFill="1" applyBorder="1" applyAlignment="1">
      <alignment horizontal="center" vertical="center" wrapText="1"/>
    </xf>
    <xf numFmtId="17" fontId="0" fillId="5" borderId="3" xfId="0" applyNumberFormat="1" applyFill="1" applyBorder="1"/>
    <xf numFmtId="0" fontId="4" fillId="0" borderId="3" xfId="0" applyFont="1" applyBorder="1" applyAlignment="1">
      <alignment horizontal="center" vertical="center"/>
    </xf>
    <xf numFmtId="17" fontId="27" fillId="0" borderId="0" xfId="0" applyNumberFormat="1" applyFont="1"/>
    <xf numFmtId="0" fontId="4" fillId="6" borderId="12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8" xfId="0" applyBorder="1"/>
    <xf numFmtId="10" fontId="0" fillId="0" borderId="8" xfId="0" applyNumberFormat="1" applyBorder="1"/>
    <xf numFmtId="0" fontId="4" fillId="0" borderId="6" xfId="0" applyFont="1" applyBorder="1" applyAlignment="1">
      <alignment horizontal="center" vertical="center"/>
    </xf>
    <xf numFmtId="0" fontId="0" fillId="0" borderId="6" xfId="0" applyBorder="1"/>
    <xf numFmtId="10" fontId="0" fillId="0" borderId="6" xfId="0" applyNumberFormat="1" applyBorder="1"/>
    <xf numFmtId="0" fontId="4" fillId="0" borderId="7" xfId="0" applyFont="1" applyBorder="1" applyAlignment="1">
      <alignment horizontal="center" vertical="center"/>
    </xf>
    <xf numFmtId="0" fontId="0" fillId="0" borderId="7" xfId="0" applyBorder="1"/>
    <xf numFmtId="10" fontId="0" fillId="0" borderId="7" xfId="0" applyNumberFormat="1" applyBorder="1"/>
    <xf numFmtId="4" fontId="0" fillId="0" borderId="1" xfId="0" applyNumberFormat="1" applyBorder="1"/>
    <xf numFmtId="0" fontId="4" fillId="7" borderId="3" xfId="0" applyFont="1" applyFill="1" applyBorder="1" applyAlignment="1">
      <alignment wrapText="1"/>
    </xf>
    <xf numFmtId="0" fontId="4" fillId="7" borderId="3" xfId="0" applyFont="1" applyFill="1" applyBorder="1"/>
    <xf numFmtId="4" fontId="4" fillId="7" borderId="3" xfId="0" applyNumberFormat="1" applyFont="1" applyFill="1" applyBorder="1"/>
    <xf numFmtId="164" fontId="4" fillId="7" borderId="3" xfId="3" applyFont="1" applyFill="1" applyBorder="1"/>
    <xf numFmtId="0" fontId="7" fillId="0" borderId="33" xfId="0" applyFont="1" applyBorder="1" applyAlignment="1">
      <alignment horizontal="left" vertical="center" wrapText="1"/>
    </xf>
    <xf numFmtId="0" fontId="4" fillId="8" borderId="33" xfId="0" applyFont="1" applyFill="1" applyBorder="1" applyAlignment="1">
      <alignment horizontal="center"/>
    </xf>
    <xf numFmtId="43" fontId="0" fillId="0" borderId="0" xfId="0" applyNumberFormat="1"/>
    <xf numFmtId="0" fontId="7" fillId="0" borderId="18" xfId="0" applyFont="1" applyBorder="1" applyAlignment="1">
      <alignment horizontal="left" vertical="center" wrapText="1"/>
    </xf>
    <xf numFmtId="0" fontId="0" fillId="0" borderId="16" xfId="0" applyBorder="1"/>
    <xf numFmtId="4" fontId="3" fillId="0" borderId="3" xfId="0" applyNumberFormat="1" applyFont="1" applyBorder="1"/>
    <xf numFmtId="4" fontId="29" fillId="0" borderId="3" xfId="0" applyNumberFormat="1" applyFont="1" applyBorder="1"/>
    <xf numFmtId="14" fontId="27" fillId="0" borderId="0" xfId="0" applyNumberFormat="1" applyFont="1"/>
    <xf numFmtId="0" fontId="4" fillId="0" borderId="16" xfId="0" applyFont="1" applyBorder="1"/>
    <xf numFmtId="4" fontId="28" fillId="0" borderId="0" xfId="0" applyNumberFormat="1" applyFont="1" applyAlignment="1">
      <alignment wrapText="1"/>
    </xf>
    <xf numFmtId="0" fontId="32" fillId="7" borderId="3" xfId="0" applyFont="1" applyFill="1" applyBorder="1"/>
    <xf numFmtId="0" fontId="4" fillId="7" borderId="3" xfId="0" applyFont="1" applyFill="1" applyBorder="1" applyAlignment="1">
      <alignment horizontal="center"/>
    </xf>
    <xf numFmtId="0" fontId="0" fillId="0" borderId="19" xfId="0" applyBorder="1"/>
    <xf numFmtId="4" fontId="3" fillId="4" borderId="3" xfId="0" applyNumberFormat="1" applyFont="1" applyFill="1" applyBorder="1"/>
    <xf numFmtId="164" fontId="4" fillId="0" borderId="0" xfId="0" applyNumberFormat="1" applyFont="1"/>
    <xf numFmtId="0" fontId="0" fillId="0" borderId="31" xfId="0" applyBorder="1"/>
    <xf numFmtId="0" fontId="37" fillId="7" borderId="22" xfId="0" applyFont="1" applyFill="1" applyBorder="1" applyAlignment="1">
      <alignment horizontal="center" vertical="center" wrapText="1"/>
    </xf>
    <xf numFmtId="0" fontId="37" fillId="7" borderId="23" xfId="0" applyFont="1" applyFill="1" applyBorder="1" applyAlignment="1">
      <alignment horizontal="center" vertical="center" wrapText="1"/>
    </xf>
    <xf numFmtId="0" fontId="37" fillId="7" borderId="45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vertical="center"/>
    </xf>
    <xf numFmtId="2" fontId="14" fillId="9" borderId="3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2" fontId="15" fillId="0" borderId="3" xfId="0" applyNumberFormat="1" applyFont="1" applyBorder="1" applyAlignment="1">
      <alignment horizontal="left" vertical="center" wrapText="1"/>
    </xf>
    <xf numFmtId="44" fontId="36" fillId="5" borderId="3" xfId="0" applyNumberFormat="1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4" fontId="37" fillId="13" borderId="3" xfId="0" applyNumberFormat="1" applyFont="1" applyFill="1" applyBorder="1" applyAlignment="1">
      <alignment vertical="center"/>
    </xf>
    <xf numFmtId="17" fontId="36" fillId="0" borderId="3" xfId="0" applyNumberFormat="1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9" fontId="0" fillId="0" borderId="0" xfId="0" applyNumberFormat="1" applyAlignment="1">
      <alignment vertical="center"/>
    </xf>
    <xf numFmtId="0" fontId="30" fillId="9" borderId="3" xfId="0" applyFont="1" applyFill="1" applyBorder="1" applyAlignment="1">
      <alignment vertical="center"/>
    </xf>
    <xf numFmtId="0" fontId="36" fillId="9" borderId="3" xfId="0" applyFont="1" applyFill="1" applyBorder="1" applyAlignment="1">
      <alignment vertical="center"/>
    </xf>
    <xf numFmtId="2" fontId="15" fillId="0" borderId="3" xfId="0" applyNumberFormat="1" applyFont="1" applyBorder="1" applyAlignment="1">
      <alignment horizontal="left" vertical="center"/>
    </xf>
    <xf numFmtId="44" fontId="36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2" fontId="14" fillId="9" borderId="3" xfId="0" applyNumberFormat="1" applyFont="1" applyFill="1" applyBorder="1" applyAlignment="1">
      <alignment horizontal="center" vertical="center" wrapText="1"/>
    </xf>
    <xf numFmtId="165" fontId="36" fillId="0" borderId="3" xfId="0" applyNumberFormat="1" applyFont="1" applyBorder="1" applyAlignment="1">
      <alignment horizontal="center" vertical="center"/>
    </xf>
    <xf numFmtId="12" fontId="15" fillId="0" borderId="3" xfId="0" applyNumberFormat="1" applyFont="1" applyBorder="1" applyAlignment="1">
      <alignment horizontal="left" vertical="center" wrapText="1"/>
    </xf>
    <xf numFmtId="0" fontId="14" fillId="9" borderId="3" xfId="0" applyFont="1" applyFill="1" applyBorder="1" applyAlignment="1">
      <alignment horizontal="left" vertical="center" wrapText="1"/>
    </xf>
    <xf numFmtId="12" fontId="15" fillId="9" borderId="3" xfId="0" applyNumberFormat="1" applyFont="1" applyFill="1" applyBorder="1" applyAlignment="1">
      <alignment horizontal="left" vertical="center" wrapText="1"/>
    </xf>
    <xf numFmtId="0" fontId="37" fillId="9" borderId="3" xfId="0" applyFont="1" applyFill="1" applyBorder="1" applyAlignment="1">
      <alignment horizontal="center" vertical="center" wrapText="1"/>
    </xf>
    <xf numFmtId="0" fontId="36" fillId="9" borderId="3" xfId="0" applyFont="1" applyFill="1" applyBorder="1" applyAlignment="1">
      <alignment horizontal="center" vertical="center" wrapText="1"/>
    </xf>
    <xf numFmtId="44" fontId="37" fillId="9" borderId="3" xfId="0" applyNumberFormat="1" applyFont="1" applyFill="1" applyBorder="1" applyAlignment="1">
      <alignment vertical="center"/>
    </xf>
    <xf numFmtId="17" fontId="36" fillId="9" borderId="3" xfId="0" applyNumberFormat="1" applyFont="1" applyFill="1" applyBorder="1" applyAlignment="1">
      <alignment vertical="center"/>
    </xf>
    <xf numFmtId="0" fontId="36" fillId="0" borderId="3" xfId="0" applyFont="1" applyBorder="1" applyAlignment="1">
      <alignment horizontal="left" vertical="center"/>
    </xf>
    <xf numFmtId="165" fontId="36" fillId="0" borderId="3" xfId="0" applyNumberFormat="1" applyFont="1" applyBorder="1" applyAlignment="1">
      <alignment vertical="center"/>
    </xf>
    <xf numFmtId="0" fontId="37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vertical="center" wrapText="1"/>
    </xf>
    <xf numFmtId="0" fontId="37" fillId="0" borderId="3" xfId="0" applyFont="1" applyBorder="1" applyAlignment="1">
      <alignment vertical="center"/>
    </xf>
    <xf numFmtId="12" fontId="36" fillId="0" borderId="3" xfId="0" applyNumberFormat="1" applyFont="1" applyBorder="1" applyAlignment="1">
      <alignment horizontal="left" vertical="center"/>
    </xf>
    <xf numFmtId="44" fontId="36" fillId="0" borderId="3" xfId="0" applyNumberFormat="1" applyFont="1" applyBorder="1" applyAlignment="1">
      <alignment vertical="center"/>
    </xf>
    <xf numFmtId="4" fontId="37" fillId="13" borderId="3" xfId="0" applyNumberFormat="1" applyFont="1" applyFill="1" applyBorder="1" applyAlignment="1">
      <alignment vertical="center"/>
    </xf>
    <xf numFmtId="12" fontId="36" fillId="9" borderId="3" xfId="0" applyNumberFormat="1" applyFont="1" applyFill="1" applyBorder="1" applyAlignment="1">
      <alignment vertical="center"/>
    </xf>
    <xf numFmtId="0" fontId="36" fillId="9" borderId="3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13" borderId="3" xfId="0" applyFont="1" applyFill="1" applyBorder="1" applyAlignment="1">
      <alignment vertical="center"/>
    </xf>
    <xf numFmtId="0" fontId="37" fillId="9" borderId="3" xfId="0" applyFont="1" applyFill="1" applyBorder="1" applyAlignment="1">
      <alignment vertical="center"/>
    </xf>
    <xf numFmtId="12" fontId="36" fillId="9" borderId="3" xfId="0" applyNumberFormat="1" applyFont="1" applyFill="1" applyBorder="1" applyAlignment="1">
      <alignment horizontal="left" vertical="center"/>
    </xf>
    <xf numFmtId="0" fontId="37" fillId="0" borderId="3" xfId="0" applyFont="1" applyBorder="1" applyAlignment="1">
      <alignment vertical="center" wrapText="1"/>
    </xf>
    <xf numFmtId="0" fontId="30" fillId="9" borderId="24" xfId="0" applyFont="1" applyFill="1" applyBorder="1" applyAlignment="1">
      <alignment vertical="center"/>
    </xf>
    <xf numFmtId="44" fontId="36" fillId="9" borderId="3" xfId="0" applyNumberFormat="1" applyFont="1" applyFill="1" applyBorder="1" applyAlignment="1">
      <alignment vertical="center"/>
    </xf>
    <xf numFmtId="0" fontId="30" fillId="0" borderId="0" xfId="0" applyFont="1"/>
    <xf numFmtId="0" fontId="36" fillId="0" borderId="0" xfId="0" applyFont="1"/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8" borderId="42" xfId="0" applyFont="1" applyFill="1" applyBorder="1" applyAlignment="1">
      <alignment horizontal="center" wrapText="1"/>
    </xf>
    <xf numFmtId="0" fontId="15" fillId="0" borderId="43" xfId="0" applyFont="1" applyBorder="1"/>
    <xf numFmtId="0" fontId="7" fillId="0" borderId="0" xfId="0" applyFont="1"/>
    <xf numFmtId="0" fontId="14" fillId="6" borderId="3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7" fillId="0" borderId="18" xfId="0" applyFont="1" applyBorder="1"/>
    <xf numFmtId="0" fontId="7" fillId="0" borderId="3" xfId="0" applyFont="1" applyBorder="1"/>
    <xf numFmtId="0" fontId="7" fillId="0" borderId="9" xfId="0" applyFont="1" applyBorder="1"/>
    <xf numFmtId="0" fontId="38" fillId="0" borderId="0" xfId="0" applyFont="1" applyAlignment="1">
      <alignment horizontal="center"/>
    </xf>
    <xf numFmtId="165" fontId="7" fillId="6" borderId="3" xfId="0" applyNumberFormat="1" applyFont="1" applyFill="1" applyBorder="1"/>
    <xf numFmtId="0" fontId="8" fillId="0" borderId="18" xfId="0" applyFont="1" applyBorder="1"/>
    <xf numFmtId="0" fontId="8" fillId="0" borderId="44" xfId="0" applyFont="1" applyBorder="1"/>
    <xf numFmtId="0" fontId="7" fillId="0" borderId="5" xfId="0" applyFont="1" applyBorder="1"/>
    <xf numFmtId="0" fontId="7" fillId="0" borderId="10" xfId="0" applyFont="1" applyBorder="1"/>
    <xf numFmtId="0" fontId="8" fillId="6" borderId="3" xfId="0" applyFont="1" applyFill="1" applyBorder="1"/>
    <xf numFmtId="0" fontId="8" fillId="0" borderId="0" xfId="0" applyFont="1"/>
    <xf numFmtId="0" fontId="14" fillId="4" borderId="0" xfId="0" applyFont="1" applyFill="1" applyAlignment="1">
      <alignment horizontal="left"/>
    </xf>
    <xf numFmtId="0" fontId="14" fillId="4" borderId="0" xfId="0" applyFont="1" applyFill="1"/>
    <xf numFmtId="0" fontId="8" fillId="0" borderId="3" xfId="0" applyFont="1" applyBorder="1"/>
    <xf numFmtId="0" fontId="8" fillId="0" borderId="5" xfId="0" applyFont="1" applyBorder="1"/>
    <xf numFmtId="0" fontId="7" fillId="7" borderId="21" xfId="0" applyFont="1" applyFill="1" applyBorder="1" applyAlignment="1">
      <alignment horizontal="left" vertical="top" wrapText="1"/>
    </xf>
    <xf numFmtId="2" fontId="7" fillId="7" borderId="22" xfId="0" applyNumberFormat="1" applyFont="1" applyFill="1" applyBorder="1" applyAlignment="1">
      <alignment horizontal="left" vertical="top" wrapText="1"/>
    </xf>
    <xf numFmtId="49" fontId="7" fillId="7" borderId="22" xfId="0" applyNumberFormat="1" applyFont="1" applyFill="1" applyBorder="1" applyAlignment="1">
      <alignment horizontal="left" vertical="top" wrapText="1"/>
    </xf>
    <xf numFmtId="3" fontId="7" fillId="7" borderId="22" xfId="0" applyNumberFormat="1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32" fillId="10" borderId="3" xfId="0" applyFont="1" applyFill="1" applyBorder="1"/>
    <xf numFmtId="2" fontId="7" fillId="9" borderId="19" xfId="0" applyNumberFormat="1" applyFont="1" applyFill="1" applyBorder="1" applyAlignment="1">
      <alignment vertical="top" wrapText="1"/>
    </xf>
    <xf numFmtId="2" fontId="7" fillId="9" borderId="3" xfId="0" applyNumberFormat="1" applyFont="1" applyFill="1" applyBorder="1" applyAlignment="1">
      <alignment vertical="top" wrapText="1"/>
    </xf>
    <xf numFmtId="49" fontId="7" fillId="9" borderId="3" xfId="0" applyNumberFormat="1" applyFont="1" applyFill="1" applyBorder="1" applyAlignment="1">
      <alignment vertical="top" wrapText="1"/>
    </xf>
    <xf numFmtId="2" fontId="7" fillId="9" borderId="24" xfId="0" applyNumberFormat="1" applyFont="1" applyFill="1" applyBorder="1" applyAlignment="1">
      <alignment vertical="top" wrapText="1"/>
    </xf>
    <xf numFmtId="0" fontId="32" fillId="10" borderId="3" xfId="0" applyFont="1" applyFill="1" applyBorder="1" applyAlignment="1">
      <alignment wrapText="1"/>
    </xf>
    <xf numFmtId="0" fontId="7" fillId="0" borderId="19" xfId="0" applyFont="1" applyBorder="1" applyAlignment="1">
      <alignment horizontal="left" vertical="center" wrapText="1"/>
    </xf>
    <xf numFmtId="0" fontId="8" fillId="0" borderId="3" xfId="0" applyFont="1" applyBorder="1" applyAlignment="1">
      <alignment wrapText="1"/>
    </xf>
    <xf numFmtId="49" fontId="8" fillId="0" borderId="3" xfId="0" applyNumberFormat="1" applyFont="1" applyBorder="1" applyAlignment="1">
      <alignment wrapText="1"/>
    </xf>
    <xf numFmtId="2" fontId="8" fillId="0" borderId="3" xfId="0" applyNumberFormat="1" applyFont="1" applyBorder="1" applyAlignment="1">
      <alignment horizontal="center" vertical="center" wrapText="1"/>
    </xf>
    <xf numFmtId="2" fontId="7" fillId="9" borderId="19" xfId="0" applyNumberFormat="1" applyFont="1" applyFill="1" applyBorder="1" applyAlignment="1">
      <alignment vertical="center" wrapText="1"/>
    </xf>
    <xf numFmtId="2" fontId="7" fillId="9" borderId="3" xfId="0" applyNumberFormat="1" applyFont="1" applyFill="1" applyBorder="1" applyAlignment="1">
      <alignment vertical="center" wrapText="1"/>
    </xf>
    <xf numFmtId="49" fontId="7" fillId="9" borderId="3" xfId="0" applyNumberFormat="1" applyFont="1" applyFill="1" applyBorder="1" applyAlignment="1">
      <alignment vertical="center" wrapText="1"/>
    </xf>
    <xf numFmtId="2" fontId="7" fillId="9" borderId="24" xfId="0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center" wrapText="1" shrinkToFit="1"/>
    </xf>
    <xf numFmtId="0" fontId="7" fillId="0" borderId="3" xfId="0" applyFont="1" applyBorder="1" applyAlignment="1">
      <alignment horizontal="left" vertical="center" wrapText="1" shrinkToFit="1"/>
    </xf>
    <xf numFmtId="49" fontId="8" fillId="0" borderId="3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0" fontId="7" fillId="9" borderId="19" xfId="0" applyFont="1" applyFill="1" applyBorder="1" applyAlignment="1">
      <alignment vertical="center" wrapText="1" shrinkToFit="1"/>
    </xf>
    <xf numFmtId="0" fontId="7" fillId="9" borderId="3" xfId="0" applyFont="1" applyFill="1" applyBorder="1" applyAlignment="1">
      <alignment vertical="center" wrapText="1" shrinkToFit="1"/>
    </xf>
    <xf numFmtId="49" fontId="7" fillId="9" borderId="3" xfId="0" applyNumberFormat="1" applyFont="1" applyFill="1" applyBorder="1" applyAlignment="1">
      <alignment vertical="center" wrapText="1" shrinkToFit="1"/>
    </xf>
    <xf numFmtId="0" fontId="7" fillId="9" borderId="24" xfId="0" applyFont="1" applyFill="1" applyBorder="1" applyAlignment="1">
      <alignment vertical="center" wrapText="1" shrinkToFit="1"/>
    </xf>
    <xf numFmtId="0" fontId="0" fillId="10" borderId="3" xfId="0" applyFill="1" applyBorder="1"/>
    <xf numFmtId="0" fontId="8" fillId="0" borderId="3" xfId="0" applyFont="1" applyBorder="1" applyAlignment="1" applyProtection="1">
      <alignment wrapText="1"/>
      <protection locked="0"/>
    </xf>
    <xf numFmtId="49" fontId="8" fillId="0" borderId="3" xfId="0" applyNumberFormat="1" applyFont="1" applyBorder="1" applyAlignment="1" applyProtection="1">
      <alignment wrapText="1"/>
      <protection locked="0"/>
    </xf>
    <xf numFmtId="2" fontId="8" fillId="0" borderId="3" xfId="0" applyNumberFormat="1" applyFont="1" applyBorder="1" applyAlignment="1" applyProtection="1">
      <alignment horizontal="center" vertical="center" wrapText="1"/>
      <protection locked="0"/>
    </xf>
    <xf numFmtId="0" fontId="7" fillId="9" borderId="19" xfId="0" applyFont="1" applyFill="1" applyBorder="1"/>
    <xf numFmtId="0" fontId="7" fillId="9" borderId="3" xfId="0" applyFont="1" applyFill="1" applyBorder="1"/>
    <xf numFmtId="49" fontId="7" fillId="9" borderId="3" xfId="0" applyNumberFormat="1" applyFont="1" applyFill="1" applyBorder="1"/>
    <xf numFmtId="0" fontId="7" fillId="9" borderId="24" xfId="0" applyFont="1" applyFill="1" applyBorder="1"/>
    <xf numFmtId="0" fontId="7" fillId="0" borderId="19" xfId="0" applyFont="1" applyBorder="1" applyAlignment="1">
      <alignment horizontal="left" wrapText="1"/>
    </xf>
    <xf numFmtId="0" fontId="8" fillId="0" borderId="3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2" fontId="7" fillId="0" borderId="3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49" fontId="7" fillId="0" borderId="3" xfId="0" applyNumberFormat="1" applyFont="1" applyBorder="1" applyAlignment="1">
      <alignment horizontal="center" wrapText="1"/>
    </xf>
    <xf numFmtId="49" fontId="8" fillId="0" borderId="3" xfId="0" applyNumberFormat="1" applyFont="1" applyBorder="1"/>
    <xf numFmtId="0" fontId="7" fillId="9" borderId="3" xfId="0" applyFont="1" applyFill="1" applyBorder="1" applyAlignment="1">
      <alignment vertical="center" wrapText="1"/>
    </xf>
    <xf numFmtId="0" fontId="7" fillId="9" borderId="24" xfId="0" applyFont="1" applyFill="1" applyBorder="1" applyAlignment="1">
      <alignment vertical="center" wrapText="1"/>
    </xf>
    <xf numFmtId="12" fontId="8" fillId="0" borderId="3" xfId="0" applyNumberFormat="1" applyFont="1" applyBorder="1" applyAlignment="1">
      <alignment horizontal="left" vertical="center" wrapText="1"/>
    </xf>
    <xf numFmtId="2" fontId="7" fillId="9" borderId="3" xfId="0" applyNumberFormat="1" applyFont="1" applyFill="1" applyBorder="1" applyAlignment="1">
      <alignment vertical="center"/>
    </xf>
    <xf numFmtId="2" fontId="7" fillId="9" borderId="24" xfId="0" applyNumberFormat="1" applyFont="1" applyFill="1" applyBorder="1" applyAlignment="1">
      <alignment vertical="center"/>
    </xf>
    <xf numFmtId="2" fontId="7" fillId="0" borderId="19" xfId="0" applyNumberFormat="1" applyFont="1" applyBorder="1" applyAlignment="1">
      <alignment horizontal="left" vertical="center" wrapText="1"/>
    </xf>
    <xf numFmtId="2" fontId="8" fillId="0" borderId="3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0" fontId="30" fillId="0" borderId="3" xfId="0" applyFont="1" applyBorder="1"/>
    <xf numFmtId="0" fontId="7" fillId="0" borderId="19" xfId="0" applyFont="1" applyBorder="1" applyAlignment="1">
      <alignment horizontal="left" vertical="center"/>
    </xf>
    <xf numFmtId="2" fontId="7" fillId="0" borderId="19" xfId="0" applyNumberFormat="1" applyFont="1" applyBorder="1" applyAlignment="1">
      <alignment vertical="center" wrapText="1"/>
    </xf>
    <xf numFmtId="0" fontId="7" fillId="0" borderId="19" xfId="0" applyFont="1" applyBorder="1"/>
    <xf numFmtId="2" fontId="7" fillId="0" borderId="3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left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49" fontId="7" fillId="9" borderId="3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Border="1" applyAlignment="1">
      <alignment vertical="center" wrapText="1"/>
    </xf>
    <xf numFmtId="49" fontId="8" fillId="0" borderId="3" xfId="0" applyNumberFormat="1" applyFont="1" applyBorder="1" applyAlignment="1">
      <alignment vertical="center" wrapText="1"/>
    </xf>
    <xf numFmtId="0" fontId="7" fillId="9" borderId="19" xfId="0" applyFont="1" applyFill="1" applyBorder="1" applyAlignment="1">
      <alignment horizontal="left" vertical="top" wrapText="1"/>
    </xf>
    <xf numFmtId="2" fontId="8" fillId="9" borderId="3" xfId="0" applyNumberFormat="1" applyFont="1" applyFill="1" applyBorder="1" applyAlignment="1">
      <alignment vertical="center" wrapText="1"/>
    </xf>
    <xf numFmtId="49" fontId="8" fillId="9" borderId="3" xfId="0" applyNumberFormat="1" applyFont="1" applyFill="1" applyBorder="1" applyAlignment="1">
      <alignment vertical="center" wrapText="1"/>
    </xf>
    <xf numFmtId="2" fontId="8" fillId="9" borderId="3" xfId="0" applyNumberFormat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7" fillId="0" borderId="19" xfId="0" applyFont="1" applyBorder="1" applyAlignment="1" applyProtection="1">
      <alignment horizontal="left" vertical="top" wrapText="1"/>
      <protection locked="0"/>
    </xf>
    <xf numFmtId="2" fontId="8" fillId="0" borderId="3" xfId="0" applyNumberFormat="1" applyFont="1" applyBorder="1" applyAlignment="1" applyProtection="1">
      <alignment vertical="center" wrapText="1"/>
      <protection locked="0"/>
    </xf>
    <xf numFmtId="49" fontId="8" fillId="0" borderId="3" xfId="0" applyNumberFormat="1" applyFont="1" applyBorder="1" applyAlignment="1" applyProtection="1">
      <alignment vertical="center" wrapText="1"/>
      <protection locked="0"/>
    </xf>
    <xf numFmtId="0" fontId="7" fillId="0" borderId="19" xfId="0" applyFont="1" applyBorder="1" applyAlignment="1">
      <alignment wrapText="1"/>
    </xf>
    <xf numFmtId="0" fontId="8" fillId="0" borderId="14" xfId="0" applyFont="1" applyBorder="1" applyAlignment="1">
      <alignment wrapText="1"/>
    </xf>
    <xf numFmtId="49" fontId="8" fillId="0" borderId="14" xfId="0" applyNumberFormat="1" applyFont="1" applyBorder="1" applyAlignment="1">
      <alignment wrapText="1"/>
    </xf>
    <xf numFmtId="0" fontId="8" fillId="0" borderId="14" xfId="0" applyFont="1" applyBorder="1" applyAlignment="1">
      <alignment horizontal="center"/>
    </xf>
    <xf numFmtId="0" fontId="7" fillId="0" borderId="27" xfId="0" applyFont="1" applyBorder="1" applyAlignment="1">
      <alignment wrapText="1"/>
    </xf>
    <xf numFmtId="0" fontId="8" fillId="0" borderId="20" xfId="0" applyFont="1" applyBorder="1" applyAlignment="1">
      <alignment wrapText="1"/>
    </xf>
    <xf numFmtId="49" fontId="8" fillId="0" borderId="20" xfId="0" applyNumberFormat="1" applyFont="1" applyBorder="1" applyAlignment="1">
      <alignment wrapText="1"/>
    </xf>
    <xf numFmtId="0" fontId="8" fillId="0" borderId="20" xfId="0" applyFont="1" applyBorder="1" applyAlignment="1">
      <alignment horizontal="center"/>
    </xf>
    <xf numFmtId="0" fontId="7" fillId="9" borderId="3" xfId="0" applyFont="1" applyFill="1" applyBorder="1" applyAlignment="1">
      <alignment wrapText="1"/>
    </xf>
    <xf numFmtId="0" fontId="8" fillId="9" borderId="3" xfId="0" applyFont="1" applyFill="1" applyBorder="1" applyAlignment="1">
      <alignment wrapText="1"/>
    </xf>
    <xf numFmtId="49" fontId="8" fillId="9" borderId="3" xfId="0" applyNumberFormat="1" applyFont="1" applyFill="1" applyBorder="1" applyAlignment="1">
      <alignment wrapText="1"/>
    </xf>
    <xf numFmtId="0" fontId="8" fillId="9" borderId="3" xfId="0" applyFont="1" applyFill="1" applyBorder="1" applyAlignment="1">
      <alignment horizontal="center"/>
    </xf>
    <xf numFmtId="0" fontId="7" fillId="9" borderId="19" xfId="0" applyFont="1" applyFill="1" applyBorder="1" applyAlignment="1">
      <alignment wrapText="1"/>
    </xf>
    <xf numFmtId="0" fontId="7" fillId="9" borderId="24" xfId="0" applyFont="1" applyFill="1" applyBorder="1" applyAlignment="1">
      <alignment wrapText="1"/>
    </xf>
    <xf numFmtId="2" fontId="7" fillId="0" borderId="27" xfId="0" applyNumberFormat="1" applyFont="1" applyBorder="1" applyAlignment="1">
      <alignment vertical="center" wrapText="1"/>
    </xf>
    <xf numFmtId="2" fontId="8" fillId="0" borderId="20" xfId="0" applyNumberFormat="1" applyFont="1" applyBorder="1" applyAlignment="1">
      <alignment vertical="center" wrapText="1"/>
    </xf>
    <xf numFmtId="49" fontId="8" fillId="0" borderId="20" xfId="0" applyNumberFormat="1" applyFont="1" applyBorder="1" applyAlignment="1">
      <alignment vertical="center" wrapText="1"/>
    </xf>
    <xf numFmtId="2" fontId="8" fillId="0" borderId="20" xfId="0" applyNumberFormat="1" applyFont="1" applyBorder="1" applyAlignment="1">
      <alignment horizontal="center" vertical="center" wrapText="1"/>
    </xf>
    <xf numFmtId="2" fontId="7" fillId="0" borderId="19" xfId="0" applyNumberFormat="1" applyFont="1" applyBorder="1" applyAlignment="1">
      <alignment horizontal="left" vertical="top" wrapText="1"/>
    </xf>
    <xf numFmtId="2" fontId="8" fillId="0" borderId="3" xfId="0" applyNumberFormat="1" applyFont="1" applyBorder="1" applyAlignment="1">
      <alignment horizontal="left" vertical="top" wrapText="1"/>
    </xf>
    <xf numFmtId="49" fontId="8" fillId="0" borderId="3" xfId="0" applyNumberFormat="1" applyFont="1" applyBorder="1" applyAlignment="1">
      <alignment horizontal="left" vertical="top" wrapText="1"/>
    </xf>
    <xf numFmtId="2" fontId="7" fillId="0" borderId="27" xfId="0" applyNumberFormat="1" applyFont="1" applyBorder="1" applyAlignment="1">
      <alignment horizontal="left" vertical="center" wrapText="1"/>
    </xf>
    <xf numFmtId="2" fontId="8" fillId="0" borderId="20" xfId="0" applyNumberFormat="1" applyFont="1" applyBorder="1" applyAlignment="1">
      <alignment horizontal="left" vertical="center" wrapText="1"/>
    </xf>
    <xf numFmtId="49" fontId="8" fillId="0" borderId="20" xfId="0" applyNumberFormat="1" applyFont="1" applyBorder="1" applyAlignment="1">
      <alignment horizontal="left" vertical="center" wrapText="1"/>
    </xf>
    <xf numFmtId="49" fontId="7" fillId="9" borderId="3" xfId="0" applyNumberFormat="1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left" vertical="center" wrapText="1"/>
    </xf>
    <xf numFmtId="2" fontId="7" fillId="5" borderId="3" xfId="0" applyNumberFormat="1" applyFont="1" applyFill="1" applyBorder="1" applyAlignment="1">
      <alignment horizontal="left" vertical="center" wrapText="1"/>
    </xf>
    <xf numFmtId="49" fontId="7" fillId="5" borderId="3" xfId="0" applyNumberFormat="1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left" vertical="center" wrapText="1"/>
    </xf>
    <xf numFmtId="2" fontId="7" fillId="5" borderId="20" xfId="0" applyNumberFormat="1" applyFont="1" applyFill="1" applyBorder="1" applyAlignment="1">
      <alignment horizontal="left" vertical="center" wrapText="1"/>
    </xf>
    <xf numFmtId="49" fontId="7" fillId="5" borderId="20" xfId="0" applyNumberFormat="1" applyFont="1" applyFill="1" applyBorder="1" applyAlignment="1">
      <alignment horizontal="left" vertical="center" wrapText="1"/>
    </xf>
    <xf numFmtId="0" fontId="7" fillId="7" borderId="36" xfId="0" applyFont="1" applyFill="1" applyBorder="1" applyAlignment="1">
      <alignment horizontal="center" vertical="center" wrapText="1"/>
    </xf>
    <xf numFmtId="2" fontId="7" fillId="7" borderId="37" xfId="0" applyNumberFormat="1" applyFont="1" applyFill="1" applyBorder="1" applyAlignment="1">
      <alignment horizontal="center" vertical="center" wrapText="1"/>
    </xf>
    <xf numFmtId="3" fontId="7" fillId="7" borderId="37" xfId="0" applyNumberFormat="1" applyFont="1" applyFill="1" applyBorder="1" applyAlignment="1">
      <alignment horizontal="center" vertical="center" wrapText="1"/>
    </xf>
    <xf numFmtId="0" fontId="31" fillId="7" borderId="37" xfId="0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6" fontId="34" fillId="0" borderId="0" xfId="0" applyNumberFormat="1" applyFont="1" applyAlignment="1">
      <alignment horizontal="left" vertical="center"/>
    </xf>
    <xf numFmtId="4" fontId="7" fillId="0" borderId="3" xfId="0" applyNumberFormat="1" applyFont="1" applyBorder="1" applyAlignment="1">
      <alignment horizontal="right" vertical="center" wrapText="1"/>
    </xf>
    <xf numFmtId="2" fontId="8" fillId="0" borderId="0" xfId="0" applyNumberFormat="1" applyFont="1" applyAlignment="1">
      <alignment horizontal="left" vertical="center" wrapText="1"/>
    </xf>
    <xf numFmtId="0" fontId="7" fillId="0" borderId="3" xfId="0" applyFont="1" applyBorder="1" applyAlignment="1">
      <alignment horizontal="left" wrapText="1"/>
    </xf>
    <xf numFmtId="0" fontId="7" fillId="11" borderId="3" xfId="0" applyFont="1" applyFill="1" applyBorder="1" applyAlignment="1">
      <alignment wrapText="1"/>
    </xf>
    <xf numFmtId="0" fontId="7" fillId="0" borderId="0" xfId="0" applyFont="1" applyAlignment="1">
      <alignment wrapText="1"/>
    </xf>
    <xf numFmtId="2" fontId="7" fillId="12" borderId="3" xfId="0" applyNumberFormat="1" applyFont="1" applyFill="1" applyBorder="1" applyAlignment="1">
      <alignment horizontal="left" vertical="center" wrapText="1"/>
    </xf>
    <xf numFmtId="0" fontId="8" fillId="12" borderId="3" xfId="0" applyFont="1" applyFill="1" applyBorder="1" applyAlignment="1">
      <alignment horizontal="center" wrapText="1"/>
    </xf>
    <xf numFmtId="0" fontId="33" fillId="0" borderId="3" xfId="0" applyFont="1" applyBorder="1" applyAlignment="1">
      <alignment wrapText="1"/>
    </xf>
    <xf numFmtId="0" fontId="30" fillId="0" borderId="3" xfId="0" applyFont="1" applyBorder="1" applyAlignment="1">
      <alignment vertical="center" wrapText="1"/>
    </xf>
    <xf numFmtId="0" fontId="33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vertical="center" wrapText="1"/>
    </xf>
    <xf numFmtId="166" fontId="7" fillId="0" borderId="3" xfId="0" applyNumberFormat="1" applyFont="1" applyBorder="1" applyAlignment="1">
      <alignment horizontal="right" vertical="center"/>
    </xf>
    <xf numFmtId="164" fontId="8" fillId="0" borderId="3" xfId="0" applyNumberFormat="1" applyFont="1" applyBorder="1"/>
    <xf numFmtId="166" fontId="8" fillId="0" borderId="3" xfId="0" applyNumberFormat="1" applyFont="1" applyBorder="1" applyAlignment="1">
      <alignment horizontal="right" vertical="center"/>
    </xf>
    <xf numFmtId="0" fontId="7" fillId="0" borderId="20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7" fillId="9" borderId="18" xfId="0" applyFont="1" applyFill="1" applyBorder="1" applyAlignment="1">
      <alignment wrapText="1"/>
    </xf>
    <xf numFmtId="0" fontId="8" fillId="9" borderId="3" xfId="0" applyFont="1" applyFill="1" applyBorder="1" applyAlignment="1">
      <alignment horizontal="center" wrapText="1"/>
    </xf>
    <xf numFmtId="166" fontId="8" fillId="0" borderId="0" xfId="0" applyNumberFormat="1" applyFont="1" applyAlignment="1">
      <alignment horizontal="right" vertical="center" wrapText="1"/>
    </xf>
    <xf numFmtId="0" fontId="30" fillId="9" borderId="3" xfId="0" applyFont="1" applyFill="1" applyBorder="1"/>
    <xf numFmtId="0" fontId="31" fillId="0" borderId="3" xfId="0" applyFont="1" applyBorder="1"/>
    <xf numFmtId="0" fontId="50" fillId="0" borderId="0" xfId="0" applyFont="1"/>
    <xf numFmtId="0" fontId="31" fillId="0" borderId="3" xfId="0" applyFont="1" applyBorder="1" applyAlignment="1">
      <alignment wrapText="1"/>
    </xf>
    <xf numFmtId="2" fontId="7" fillId="0" borderId="3" xfId="0" applyNumberFormat="1" applyFont="1" applyBorder="1" applyAlignment="1">
      <alignment vertical="center" wrapText="1"/>
    </xf>
    <xf numFmtId="43" fontId="7" fillId="0" borderId="3" xfId="4" applyFont="1" applyBorder="1" applyAlignment="1">
      <alignment horizontal="center" vertical="center" wrapText="1"/>
    </xf>
    <xf numFmtId="4" fontId="7" fillId="0" borderId="3" xfId="4" applyNumberFormat="1" applyFont="1" applyBorder="1" applyAlignment="1">
      <alignment horizontal="right" vertical="center" wrapText="1"/>
    </xf>
    <xf numFmtId="4" fontId="7" fillId="0" borderId="3" xfId="4" applyNumberFormat="1" applyFont="1" applyFill="1" applyBorder="1" applyAlignment="1">
      <alignment horizontal="right" vertical="center" wrapText="1"/>
    </xf>
    <xf numFmtId="43" fontId="7" fillId="7" borderId="23" xfId="4" applyFont="1" applyFill="1" applyBorder="1" applyAlignment="1">
      <alignment horizontal="center" vertical="center" wrapText="1"/>
    </xf>
    <xf numFmtId="43" fontId="7" fillId="0" borderId="25" xfId="4" applyFont="1" applyFill="1" applyBorder="1" applyAlignment="1">
      <alignment horizontal="center" vertical="center"/>
    </xf>
    <xf numFmtId="43" fontId="7" fillId="0" borderId="25" xfId="4" applyFont="1" applyBorder="1" applyAlignment="1">
      <alignment horizontal="center" vertical="center" wrapText="1"/>
    </xf>
    <xf numFmtId="43" fontId="7" fillId="9" borderId="19" xfId="4" applyFont="1" applyFill="1" applyBorder="1" applyAlignment="1">
      <alignment vertical="center" wrapText="1"/>
    </xf>
    <xf numFmtId="43" fontId="7" fillId="9" borderId="3" xfId="4" applyFont="1" applyFill="1" applyBorder="1" applyAlignment="1">
      <alignment vertical="center" wrapText="1"/>
    </xf>
    <xf numFmtId="49" fontId="7" fillId="9" borderId="3" xfId="4" applyNumberFormat="1" applyFont="1" applyFill="1" applyBorder="1" applyAlignment="1">
      <alignment vertical="center" wrapText="1"/>
    </xf>
    <xf numFmtId="43" fontId="7" fillId="9" borderId="24" xfId="4" applyFont="1" applyFill="1" applyBorder="1" applyAlignment="1">
      <alignment vertical="center" wrapText="1"/>
    </xf>
    <xf numFmtId="43" fontId="7" fillId="0" borderId="25" xfId="4" applyFont="1" applyBorder="1" applyAlignment="1" applyProtection="1">
      <alignment horizontal="center" vertical="center" wrapText="1"/>
      <protection locked="0"/>
    </xf>
    <xf numFmtId="43" fontId="7" fillId="0" borderId="26" xfId="4" applyFont="1" applyBorder="1" applyAlignment="1">
      <alignment horizontal="center" vertical="center" wrapText="1"/>
    </xf>
    <xf numFmtId="43" fontId="7" fillId="0" borderId="24" xfId="4" applyFont="1" applyBorder="1" applyAlignment="1">
      <alignment horizontal="center" vertical="center" wrapText="1"/>
    </xf>
    <xf numFmtId="43" fontId="7" fillId="0" borderId="24" xfId="4" applyFont="1" applyFill="1" applyBorder="1" applyAlignment="1">
      <alignment horizontal="center" vertical="center" wrapText="1"/>
    </xf>
    <xf numFmtId="43" fontId="7" fillId="0" borderId="24" xfId="4" applyFont="1" applyBorder="1" applyAlignment="1">
      <alignment horizontal="center"/>
    </xf>
    <xf numFmtId="43" fontId="7" fillId="0" borderId="24" xfId="4" applyFont="1" applyBorder="1" applyAlignment="1">
      <alignment horizontal="center" vertical="center"/>
    </xf>
    <xf numFmtId="43" fontId="7" fillId="9" borderId="24" xfId="4" applyFont="1" applyFill="1" applyBorder="1" applyAlignment="1">
      <alignment horizontal="center" vertical="center" wrapText="1"/>
    </xf>
    <xf numFmtId="43" fontId="7" fillId="9" borderId="25" xfId="4" applyFont="1" applyFill="1" applyBorder="1" applyAlignment="1">
      <alignment horizontal="center" vertical="center" wrapText="1"/>
    </xf>
    <xf numFmtId="43" fontId="7" fillId="0" borderId="24" xfId="4" applyFont="1" applyBorder="1" applyAlignment="1" applyProtection="1">
      <alignment horizontal="center" vertical="center" wrapText="1"/>
      <protection locked="0"/>
    </xf>
    <xf numFmtId="43" fontId="7" fillId="9" borderId="24" xfId="4" applyFont="1" applyFill="1" applyBorder="1" applyAlignment="1">
      <alignment horizontal="center" vertical="center"/>
    </xf>
    <xf numFmtId="43" fontId="7" fillId="5" borderId="24" xfId="4" applyFont="1" applyFill="1" applyBorder="1" applyAlignment="1">
      <alignment horizontal="center" vertical="center"/>
    </xf>
    <xf numFmtId="43" fontId="7" fillId="5" borderId="28" xfId="4" applyFont="1" applyFill="1" applyBorder="1" applyAlignment="1">
      <alignment horizontal="center" vertical="center"/>
    </xf>
    <xf numFmtId="2" fontId="34" fillId="0" borderId="3" xfId="0" applyNumberFormat="1" applyFont="1" applyBorder="1" applyAlignment="1">
      <alignment vertical="center" wrapText="1"/>
    </xf>
    <xf numFmtId="49" fontId="34" fillId="0" borderId="3" xfId="0" applyNumberFormat="1" applyFont="1" applyBorder="1" applyAlignment="1">
      <alignment vertical="center" wrapText="1"/>
    </xf>
    <xf numFmtId="43" fontId="7" fillId="7" borderId="38" xfId="4" applyFont="1" applyFill="1" applyBorder="1" applyAlignment="1">
      <alignment horizontal="center" vertical="center" wrapText="1"/>
    </xf>
    <xf numFmtId="3" fontId="35" fillId="0" borderId="3" xfId="4" applyNumberFormat="1" applyFont="1" applyBorder="1" applyAlignment="1">
      <alignment horizontal="center" vertical="center" wrapText="1"/>
    </xf>
    <xf numFmtId="43" fontId="8" fillId="0" borderId="0" xfId="4" applyFont="1" applyBorder="1" applyAlignment="1">
      <alignment horizontal="left" vertical="center" wrapText="1"/>
    </xf>
    <xf numFmtId="43" fontId="7" fillId="0" borderId="3" xfId="4" applyFont="1" applyFill="1" applyBorder="1" applyAlignment="1">
      <alignment horizontal="center" vertical="center" wrapText="1"/>
    </xf>
    <xf numFmtId="4" fontId="7" fillId="12" borderId="3" xfId="4" applyNumberFormat="1" applyFont="1" applyFill="1" applyBorder="1" applyAlignment="1">
      <alignment horizontal="right" vertical="center" wrapText="1"/>
    </xf>
    <xf numFmtId="43" fontId="8" fillId="0" borderId="3" xfId="4" applyFont="1" applyFill="1" applyBorder="1" applyAlignment="1">
      <alignment horizontal="right" vertical="center"/>
    </xf>
    <xf numFmtId="4" fontId="8" fillId="0" borderId="3" xfId="4" applyNumberFormat="1" applyFont="1" applyBorder="1" applyAlignment="1">
      <alignment horizontal="right" vertical="center" wrapText="1"/>
    </xf>
    <xf numFmtId="4" fontId="7" fillId="0" borderId="4" xfId="4" applyNumberFormat="1" applyFont="1" applyBorder="1" applyAlignment="1">
      <alignment horizontal="right" vertical="center" wrapText="1"/>
    </xf>
    <xf numFmtId="4" fontId="7" fillId="0" borderId="4" xfId="4" applyNumberFormat="1" applyFont="1" applyFill="1" applyBorder="1" applyAlignment="1">
      <alignment horizontal="right" vertical="center" wrapText="1"/>
    </xf>
    <xf numFmtId="4" fontId="33" fillId="0" borderId="4" xfId="4" applyNumberFormat="1" applyFont="1" applyBorder="1" applyAlignment="1">
      <alignment horizontal="right" vertical="center" wrapText="1"/>
    </xf>
    <xf numFmtId="43" fontId="7" fillId="0" borderId="0" xfId="4" applyFont="1" applyBorder="1" applyAlignment="1">
      <alignment horizontal="center"/>
    </xf>
    <xf numFmtId="4" fontId="7" fillId="9" borderId="3" xfId="4" applyNumberFormat="1" applyFont="1" applyFill="1" applyBorder="1" applyAlignment="1">
      <alignment horizontal="right" vertical="center" wrapText="1"/>
    </xf>
    <xf numFmtId="4" fontId="7" fillId="9" borderId="4" xfId="4" applyNumberFormat="1" applyFont="1" applyFill="1" applyBorder="1" applyAlignment="1">
      <alignment horizontal="right" vertical="center" wrapText="1"/>
    </xf>
    <xf numFmtId="43" fontId="7" fillId="0" borderId="3" xfId="4" applyFont="1" applyBorder="1" applyAlignment="1">
      <alignment horizontal="right" vertical="center" wrapText="1"/>
    </xf>
    <xf numFmtId="43" fontId="8" fillId="0" borderId="3" xfId="4" applyFont="1" applyBorder="1" applyAlignment="1">
      <alignment horizontal="left" vertical="center" wrapText="1"/>
    </xf>
    <xf numFmtId="165" fontId="14" fillId="9" borderId="3" xfId="4" applyNumberFormat="1" applyFont="1" applyFill="1" applyBorder="1" applyAlignment="1">
      <alignment vertical="center" wrapText="1"/>
    </xf>
    <xf numFmtId="165" fontId="36" fillId="5" borderId="3" xfId="4" applyNumberFormat="1" applyFont="1" applyFill="1" applyBorder="1" applyAlignment="1">
      <alignment horizontal="center" vertical="center"/>
    </xf>
    <xf numFmtId="165" fontId="36" fillId="9" borderId="3" xfId="4" applyNumberFormat="1" applyFont="1" applyFill="1" applyBorder="1" applyAlignment="1">
      <alignment vertical="center"/>
    </xf>
    <xf numFmtId="165" fontId="36" fillId="0" borderId="3" xfId="4" applyNumberFormat="1" applyFont="1" applyBorder="1" applyAlignment="1">
      <alignment horizontal="center" vertical="center"/>
    </xf>
    <xf numFmtId="165" fontId="36" fillId="9" borderId="3" xfId="4" applyNumberFormat="1" applyFont="1" applyFill="1" applyBorder="1" applyAlignment="1">
      <alignment horizontal="center" vertical="center"/>
    </xf>
    <xf numFmtId="165" fontId="36" fillId="0" borderId="3" xfId="4" applyNumberFormat="1" applyFont="1" applyBorder="1" applyAlignment="1">
      <alignment vertical="center"/>
    </xf>
    <xf numFmtId="44" fontId="36" fillId="9" borderId="3" xfId="4" applyNumberFormat="1" applyFont="1" applyFill="1" applyBorder="1" applyAlignment="1">
      <alignment vertical="center"/>
    </xf>
    <xf numFmtId="44" fontId="36" fillId="0" borderId="3" xfId="4" applyNumberFormat="1" applyFont="1" applyBorder="1" applyAlignment="1">
      <alignment vertical="center"/>
    </xf>
    <xf numFmtId="0" fontId="37" fillId="0" borderId="3" xfId="0" applyFont="1" applyBorder="1"/>
    <xf numFmtId="4" fontId="58" fillId="0" borderId="3" xfId="5" applyNumberFormat="1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/>
    </xf>
    <xf numFmtId="4" fontId="37" fillId="0" borderId="3" xfId="0" applyNumberFormat="1" applyFont="1" applyBorder="1"/>
    <xf numFmtId="2" fontId="14" fillId="0" borderId="3" xfId="5" applyNumberFormat="1" applyFont="1" applyBorder="1" applyAlignment="1">
      <alignment horizontal="center" vertical="center" wrapText="1"/>
    </xf>
    <xf numFmtId="165" fontId="37" fillId="0" borderId="3" xfId="4" applyNumberFormat="1" applyFont="1" applyBorder="1"/>
    <xf numFmtId="0" fontId="36" fillId="9" borderId="3" xfId="0" applyFont="1" applyFill="1" applyBorder="1"/>
    <xf numFmtId="165" fontId="36" fillId="9" borderId="3" xfId="4" applyNumberFormat="1" applyFont="1" applyFill="1" applyBorder="1"/>
    <xf numFmtId="165" fontId="36" fillId="0" borderId="3" xfId="4" applyNumberFormat="1" applyFont="1" applyBorder="1"/>
    <xf numFmtId="165" fontId="36" fillId="0" borderId="3" xfId="0" applyNumberFormat="1" applyFont="1" applyBorder="1"/>
    <xf numFmtId="0" fontId="36" fillId="0" borderId="3" xfId="0" applyFont="1" applyBorder="1"/>
    <xf numFmtId="12" fontId="36" fillId="0" borderId="3" xfId="0" applyNumberFormat="1" applyFont="1" applyBorder="1" applyAlignment="1">
      <alignment horizontal="left"/>
    </xf>
    <xf numFmtId="165" fontId="36" fillId="0" borderId="0" xfId="4" applyNumberFormat="1" applyFont="1"/>
    <xf numFmtId="0" fontId="4" fillId="6" borderId="12" xfId="0" applyFont="1" applyFill="1" applyBorder="1" applyAlignment="1">
      <alignment horizontal="left" vertical="center" wrapText="1"/>
    </xf>
    <xf numFmtId="44" fontId="0" fillId="0" borderId="6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15" borderId="39" xfId="0" applyFont="1" applyFill="1" applyBorder="1"/>
    <xf numFmtId="10" fontId="0" fillId="0" borderId="40" xfId="0" applyNumberFormat="1" applyBorder="1"/>
    <xf numFmtId="43" fontId="1" fillId="0" borderId="40" xfId="4" applyFont="1" applyBorder="1"/>
    <xf numFmtId="43" fontId="4" fillId="13" borderId="40" xfId="4" applyFont="1" applyFill="1" applyBorder="1"/>
    <xf numFmtId="164" fontId="4" fillId="4" borderId="41" xfId="0" applyNumberFormat="1" applyFont="1" applyFill="1" applyBorder="1"/>
    <xf numFmtId="43" fontId="1" fillId="0" borderId="3" xfId="4" applyFont="1" applyBorder="1"/>
    <xf numFmtId="43" fontId="4" fillId="13" borderId="3" xfId="4" applyFont="1" applyFill="1" applyBorder="1"/>
    <xf numFmtId="164" fontId="4" fillId="4" borderId="24" xfId="0" applyNumberFormat="1" applyFont="1" applyFill="1" applyBorder="1"/>
    <xf numFmtId="43" fontId="1" fillId="0" borderId="3" xfId="4" applyFont="1" applyFill="1" applyBorder="1"/>
    <xf numFmtId="43" fontId="1" fillId="0" borderId="5" xfId="4" applyFont="1" applyFill="1" applyBorder="1"/>
    <xf numFmtId="43" fontId="4" fillId="13" borderId="5" xfId="4" applyFont="1" applyFill="1" applyBorder="1"/>
    <xf numFmtId="164" fontId="4" fillId="4" borderId="30" xfId="0" applyNumberFormat="1" applyFont="1" applyFill="1" applyBorder="1"/>
    <xf numFmtId="17" fontId="4" fillId="4" borderId="0" xfId="0" applyNumberFormat="1" applyFont="1" applyFill="1"/>
    <xf numFmtId="43" fontId="1" fillId="0" borderId="17" xfId="4" applyFont="1" applyBorder="1"/>
    <xf numFmtId="0" fontId="4" fillId="8" borderId="18" xfId="0" applyFont="1" applyFill="1" applyBorder="1"/>
    <xf numFmtId="43" fontId="4" fillId="13" borderId="4" xfId="4" applyFont="1" applyFill="1" applyBorder="1"/>
    <xf numFmtId="0" fontId="0" fillId="0" borderId="46" xfId="0" applyBorder="1"/>
    <xf numFmtId="43" fontId="4" fillId="4" borderId="0" xfId="4" applyFont="1" applyFill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17" fontId="4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4" fillId="0" borderId="0" xfId="4" applyFont="1" applyAlignment="1">
      <alignment horizontal="center" vertical="center" wrapText="1"/>
    </xf>
    <xf numFmtId="0" fontId="59" fillId="0" borderId="0" xfId="0" applyFont="1"/>
    <xf numFmtId="43" fontId="1" fillId="0" borderId="0" xfId="4" applyFont="1"/>
    <xf numFmtId="0" fontId="59" fillId="0" borderId="0" xfId="0" applyFont="1" applyAlignment="1">
      <alignment horizontal="center" vertical="center"/>
    </xf>
    <xf numFmtId="3" fontId="60" fillId="0" borderId="6" xfId="0" applyNumberFormat="1" applyFont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43" fontId="4" fillId="0" borderId="0" xfId="4" applyFont="1" applyFill="1" applyAlignment="1">
      <alignment horizontal="center" vertical="center"/>
    </xf>
    <xf numFmtId="4" fontId="4" fillId="0" borderId="0" xfId="6" applyNumberFormat="1" applyFont="1" applyAlignment="1">
      <alignment horizontal="center" vertical="center"/>
    </xf>
    <xf numFmtId="4" fontId="4" fillId="0" borderId="0" xfId="4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" fontId="61" fillId="0" borderId="0" xfId="6" applyNumberFormat="1" applyFont="1" applyAlignment="1">
      <alignment horizontal="center" vertical="center"/>
    </xf>
    <xf numFmtId="164" fontId="24" fillId="0" borderId="3" xfId="6" applyFont="1" applyFill="1" applyBorder="1"/>
    <xf numFmtId="165" fontId="8" fillId="0" borderId="3" xfId="6" applyNumberFormat="1" applyFont="1" applyFill="1" applyBorder="1"/>
    <xf numFmtId="165" fontId="8" fillId="0" borderId="24" xfId="6" applyNumberFormat="1" applyFont="1" applyFill="1" applyBorder="1" applyAlignment="1">
      <alignment horizontal="center" vertical="center"/>
    </xf>
    <xf numFmtId="165" fontId="7" fillId="8" borderId="6" xfId="6" applyNumberFormat="1" applyFont="1" applyFill="1" applyBorder="1" applyAlignment="1">
      <alignment horizontal="center"/>
    </xf>
    <xf numFmtId="165" fontId="7" fillId="8" borderId="6" xfId="6" applyNumberFormat="1" applyFont="1" applyFill="1" applyBorder="1" applyAlignment="1">
      <alignment horizontal="center" wrapText="1"/>
    </xf>
    <xf numFmtId="164" fontId="24" fillId="0" borderId="5" xfId="6" applyFont="1" applyFill="1" applyBorder="1"/>
    <xf numFmtId="165" fontId="8" fillId="0" borderId="5" xfId="6" applyNumberFormat="1" applyFont="1" applyFill="1" applyBorder="1"/>
    <xf numFmtId="165" fontId="8" fillId="0" borderId="30" xfId="6" applyNumberFormat="1" applyFont="1" applyFill="1" applyBorder="1" applyAlignment="1">
      <alignment horizontal="center" vertical="center"/>
    </xf>
    <xf numFmtId="165" fontId="7" fillId="8" borderId="7" xfId="6" applyNumberFormat="1" applyFont="1" applyFill="1" applyBorder="1" applyAlignment="1">
      <alignment horizontal="center"/>
    </xf>
    <xf numFmtId="164" fontId="8" fillId="0" borderId="3" xfId="6" applyFont="1" applyFill="1" applyBorder="1"/>
    <xf numFmtId="165" fontId="7" fillId="0" borderId="7" xfId="6" applyNumberFormat="1" applyFont="1" applyFill="1" applyBorder="1" applyAlignment="1">
      <alignment horizontal="center"/>
    </xf>
    <xf numFmtId="0" fontId="41" fillId="0" borderId="0" xfId="0" applyFont="1"/>
    <xf numFmtId="164" fontId="1" fillId="0" borderId="0" xfId="6" applyFont="1"/>
    <xf numFmtId="164" fontId="1" fillId="0" borderId="2" xfId="6" applyFont="1" applyBorder="1"/>
    <xf numFmtId="164" fontId="1" fillId="0" borderId="17" xfId="6" applyFont="1" applyBorder="1"/>
    <xf numFmtId="0" fontId="3" fillId="0" borderId="0" xfId="0" applyFont="1" applyAlignment="1">
      <alignment wrapText="1"/>
    </xf>
    <xf numFmtId="0" fontId="0" fillId="5" borderId="3" xfId="0" applyFill="1" applyBorder="1" applyAlignment="1">
      <alignment horizontal="center"/>
    </xf>
    <xf numFmtId="164" fontId="1" fillId="0" borderId="3" xfId="6" applyFont="1" applyBorder="1"/>
    <xf numFmtId="164" fontId="4" fillId="4" borderId="4" xfId="6" applyFont="1" applyFill="1" applyBorder="1"/>
    <xf numFmtId="164" fontId="1" fillId="0" borderId="3" xfId="6" applyFont="1" applyBorder="1" applyAlignment="1">
      <alignment horizontal="center"/>
    </xf>
    <xf numFmtId="164" fontId="1" fillId="0" borderId="3" xfId="6" applyFont="1" applyFill="1" applyBorder="1" applyAlignment="1">
      <alignment horizontal="center"/>
    </xf>
    <xf numFmtId="164" fontId="1" fillId="0" borderId="3" xfId="3" applyFont="1" applyFill="1" applyBorder="1" applyAlignment="1">
      <alignment horizontal="center"/>
    </xf>
    <xf numFmtId="164" fontId="1" fillId="0" borderId="3" xfId="6" applyFont="1" applyFill="1" applyBorder="1"/>
    <xf numFmtId="164" fontId="1" fillId="0" borderId="3" xfId="3" applyFont="1" applyBorder="1" applyAlignment="1">
      <alignment horizontal="center"/>
    </xf>
    <xf numFmtId="164" fontId="1" fillId="5" borderId="3" xfId="3" applyFont="1" applyFill="1" applyBorder="1"/>
    <xf numFmtId="164" fontId="1" fillId="0" borderId="3" xfId="3" applyFont="1" applyBorder="1"/>
    <xf numFmtId="164" fontId="1" fillId="0" borderId="0" xfId="3" applyFont="1"/>
    <xf numFmtId="164" fontId="1" fillId="0" borderId="2" xfId="3" applyFont="1" applyBorder="1"/>
    <xf numFmtId="164" fontId="1" fillId="0" borderId="17" xfId="3" applyFont="1" applyBorder="1"/>
    <xf numFmtId="164" fontId="4" fillId="7" borderId="3" xfId="6" applyFont="1" applyFill="1" applyBorder="1"/>
    <xf numFmtId="164" fontId="1" fillId="0" borderId="14" xfId="6" applyFont="1" applyBorder="1"/>
    <xf numFmtId="164" fontId="4" fillId="4" borderId="34" xfId="6" applyFont="1" applyFill="1" applyBorder="1"/>
    <xf numFmtId="164" fontId="1" fillId="0" borderId="32" xfId="3" applyFont="1" applyFill="1" applyBorder="1"/>
    <xf numFmtId="164" fontId="50" fillId="0" borderId="0" xfId="6" applyFont="1"/>
    <xf numFmtId="0" fontId="0" fillId="0" borderId="65" xfId="0" applyBorder="1"/>
    <xf numFmtId="164" fontId="1" fillId="0" borderId="66" xfId="6" applyFont="1" applyBorder="1"/>
    <xf numFmtId="164" fontId="1" fillId="0" borderId="0" xfId="6" applyFont="1" applyBorder="1"/>
    <xf numFmtId="164" fontId="4" fillId="0" borderId="0" xfId="6" applyFont="1" applyFill="1" applyBorder="1"/>
    <xf numFmtId="164" fontId="1" fillId="7" borderId="55" xfId="6" applyFont="1" applyFill="1" applyBorder="1"/>
    <xf numFmtId="164" fontId="1" fillId="0" borderId="5" xfId="6" applyFont="1" applyBorder="1"/>
    <xf numFmtId="164" fontId="4" fillId="4" borderId="35" xfId="6" applyFont="1" applyFill="1" applyBorder="1"/>
    <xf numFmtId="164" fontId="4" fillId="4" borderId="0" xfId="6" applyFont="1" applyFill="1" applyBorder="1"/>
    <xf numFmtId="164" fontId="1" fillId="0" borderId="55" xfId="6" applyFont="1" applyBorder="1"/>
    <xf numFmtId="164" fontId="4" fillId="7" borderId="55" xfId="6" applyFont="1" applyFill="1" applyBorder="1" applyAlignment="1">
      <alignment vertical="center"/>
    </xf>
    <xf numFmtId="44" fontId="1" fillId="0" borderId="3" xfId="6" applyNumberFormat="1" applyFont="1" applyBorder="1" applyAlignment="1">
      <alignment vertical="center"/>
    </xf>
    <xf numFmtId="44" fontId="1" fillId="18" borderId="3" xfId="6" applyNumberFormat="1" applyFont="1" applyFill="1" applyBorder="1" applyAlignment="1">
      <alignment vertical="center"/>
    </xf>
    <xf numFmtId="164" fontId="1" fillId="14" borderId="5" xfId="6" applyFont="1" applyFill="1" applyBorder="1"/>
    <xf numFmtId="164" fontId="4" fillId="14" borderId="35" xfId="6" applyFont="1" applyFill="1" applyBorder="1"/>
    <xf numFmtId="14" fontId="4" fillId="0" borderId="0" xfId="0" applyNumberFormat="1" applyFont="1"/>
    <xf numFmtId="164" fontId="4" fillId="6" borderId="3" xfId="6" applyFont="1" applyFill="1" applyBorder="1" applyAlignment="1">
      <alignment horizontal="center" vertical="center" wrapText="1"/>
    </xf>
    <xf numFmtId="164" fontId="4" fillId="4" borderId="3" xfId="6" applyFont="1" applyFill="1" applyBorder="1"/>
    <xf numFmtId="164" fontId="4" fillId="5" borderId="0" xfId="6" applyFont="1" applyFill="1" applyBorder="1"/>
    <xf numFmtId="164" fontId="4" fillId="6" borderId="3" xfId="6" applyFont="1" applyFill="1" applyBorder="1" applyAlignment="1">
      <alignment horizontal="center" vertical="center"/>
    </xf>
    <xf numFmtId="164" fontId="4" fillId="6" borderId="13" xfId="6" applyFont="1" applyFill="1" applyBorder="1" applyAlignment="1">
      <alignment horizontal="center" vertical="center" wrapText="1"/>
    </xf>
    <xf numFmtId="164" fontId="1" fillId="0" borderId="8" xfId="6" applyFont="1" applyBorder="1"/>
    <xf numFmtId="164" fontId="4" fillId="4" borderId="11" xfId="6" applyFont="1" applyFill="1" applyBorder="1"/>
    <xf numFmtId="164" fontId="1" fillId="0" borderId="6" xfId="6" applyFont="1" applyBorder="1"/>
    <xf numFmtId="164" fontId="4" fillId="4" borderId="9" xfId="6" applyFont="1" applyFill="1" applyBorder="1"/>
    <xf numFmtId="164" fontId="1" fillId="0" borderId="7" xfId="6" applyFont="1" applyBorder="1"/>
    <xf numFmtId="164" fontId="4" fillId="4" borderId="10" xfId="6" applyFont="1" applyFill="1" applyBorder="1"/>
    <xf numFmtId="164" fontId="4" fillId="6" borderId="12" xfId="6" applyFont="1" applyFill="1" applyBorder="1" applyAlignment="1">
      <alignment horizontal="center" vertical="center" wrapText="1"/>
    </xf>
    <xf numFmtId="164" fontId="4" fillId="4" borderId="8" xfId="6" applyFont="1" applyFill="1" applyBorder="1"/>
    <xf numFmtId="164" fontId="4" fillId="4" borderId="6" xfId="6" applyFont="1" applyFill="1" applyBorder="1"/>
    <xf numFmtId="164" fontId="4" fillId="4" borderId="7" xfId="6" applyFont="1" applyFill="1" applyBorder="1"/>
    <xf numFmtId="164" fontId="4" fillId="6" borderId="55" xfId="6" applyFont="1" applyFill="1" applyBorder="1" applyAlignment="1">
      <alignment horizontal="center" vertical="center" wrapText="1"/>
    </xf>
    <xf numFmtId="164" fontId="4" fillId="6" borderId="45" xfId="6" applyFont="1" applyFill="1" applyBorder="1" applyAlignment="1">
      <alignment horizontal="center" vertical="center" wrapText="1"/>
    </xf>
    <xf numFmtId="167" fontId="4" fillId="4" borderId="4" xfId="6" applyNumberFormat="1" applyFont="1" applyFill="1" applyBorder="1"/>
    <xf numFmtId="164" fontId="4" fillId="6" borderId="38" xfId="6" applyFont="1" applyFill="1" applyBorder="1" applyAlignment="1">
      <alignment horizontal="center" vertical="center" wrapText="1"/>
    </xf>
    <xf numFmtId="165" fontId="42" fillId="0" borderId="3" xfId="6" applyNumberFormat="1" applyFont="1" applyBorder="1"/>
    <xf numFmtId="4" fontId="4" fillId="4" borderId="34" xfId="6" applyNumberFormat="1" applyFont="1" applyFill="1" applyBorder="1"/>
    <xf numFmtId="4" fontId="4" fillId="4" borderId="4" xfId="6" applyNumberFormat="1" applyFont="1" applyFill="1" applyBorder="1"/>
    <xf numFmtId="4" fontId="4" fillId="4" borderId="35" xfId="6" applyNumberFormat="1" applyFont="1" applyFill="1" applyBorder="1"/>
    <xf numFmtId="4" fontId="4" fillId="4" borderId="8" xfId="6" applyNumberFormat="1" applyFont="1" applyFill="1" applyBorder="1"/>
    <xf numFmtId="4" fontId="4" fillId="4" borderId="6" xfId="6" applyNumberFormat="1" applyFont="1" applyFill="1" applyBorder="1"/>
    <xf numFmtId="4" fontId="4" fillId="4" borderId="7" xfId="6" applyNumberFormat="1" applyFont="1" applyFill="1" applyBorder="1"/>
    <xf numFmtId="164" fontId="1" fillId="0" borderId="0" xfId="6" applyFont="1" applyBorder="1" applyAlignment="1">
      <alignment horizontal="center" vertical="center"/>
    </xf>
    <xf numFmtId="0" fontId="14" fillId="7" borderId="61" xfId="1" applyFont="1" applyFill="1" applyBorder="1" applyAlignment="1">
      <alignment horizontal="center" vertical="center" wrapText="1"/>
    </xf>
    <xf numFmtId="0" fontId="14" fillId="7" borderId="28" xfId="1" applyFont="1" applyFill="1" applyBorder="1" applyAlignment="1">
      <alignment horizontal="center" vertical="center" wrapText="1"/>
    </xf>
    <xf numFmtId="164" fontId="1" fillId="5" borderId="14" xfId="3" applyFont="1" applyFill="1" applyBorder="1"/>
    <xf numFmtId="164" fontId="1" fillId="0" borderId="14" xfId="3" applyFont="1" applyBorder="1"/>
    <xf numFmtId="164" fontId="1" fillId="0" borderId="1" xfId="3" applyFont="1" applyBorder="1"/>
    <xf numFmtId="165" fontId="36" fillId="0" borderId="3" xfId="4" applyNumberFormat="1" applyFont="1" applyFill="1" applyBorder="1" applyAlignment="1">
      <alignment vertical="center"/>
    </xf>
    <xf numFmtId="0" fontId="0" fillId="0" borderId="0" xfId="0" applyProtection="1">
      <protection locked="0"/>
    </xf>
    <xf numFmtId="0" fontId="51" fillId="0" borderId="61" xfId="0" applyFont="1" applyBorder="1" applyProtection="1">
      <protection locked="0"/>
    </xf>
    <xf numFmtId="0" fontId="31" fillId="9" borderId="28" xfId="0" applyFont="1" applyFill="1" applyBorder="1" applyProtection="1">
      <protection locked="0"/>
    </xf>
    <xf numFmtId="0" fontId="30" fillId="9" borderId="28" xfId="0" applyFont="1" applyFill="1" applyBorder="1" applyProtection="1">
      <protection locked="0"/>
    </xf>
    <xf numFmtId="0" fontId="30" fillId="9" borderId="28" xfId="0" applyFont="1" applyFill="1" applyBorder="1" applyAlignment="1" applyProtection="1">
      <alignment horizontal="left"/>
      <protection locked="0"/>
    </xf>
    <xf numFmtId="0" fontId="30" fillId="9" borderId="28" xfId="0" applyFont="1" applyFill="1" applyBorder="1" applyAlignment="1" applyProtection="1">
      <alignment horizontal="center"/>
      <protection locked="0"/>
    </xf>
    <xf numFmtId="44" fontId="31" fillId="9" borderId="28" xfId="0" applyNumberFormat="1" applyFont="1" applyFill="1" applyBorder="1" applyAlignment="1" applyProtection="1">
      <alignment horizontal="center" vertical="center"/>
      <protection locked="0"/>
    </xf>
    <xf numFmtId="0" fontId="31" fillId="9" borderId="28" xfId="0" applyFont="1" applyFill="1" applyBorder="1" applyAlignment="1" applyProtection="1">
      <alignment horizontal="center"/>
      <protection locked="0"/>
    </xf>
    <xf numFmtId="0" fontId="52" fillId="9" borderId="28" xfId="0" applyFont="1" applyFill="1" applyBorder="1" applyAlignment="1" applyProtection="1">
      <alignment vertical="center" wrapText="1"/>
      <protection locked="0"/>
    </xf>
    <xf numFmtId="0" fontId="53" fillId="0" borderId="28" xfId="0" applyFont="1" applyBorder="1" applyProtection="1">
      <protection locked="0"/>
    </xf>
    <xf numFmtId="0" fontId="54" fillId="19" borderId="27" xfId="0" applyFont="1" applyFill="1" applyBorder="1" applyAlignment="1" applyProtection="1">
      <alignment wrapText="1"/>
      <protection locked="0"/>
    </xf>
    <xf numFmtId="0" fontId="7" fillId="0" borderId="28" xfId="0" applyFont="1" applyBorder="1" applyAlignment="1" applyProtection="1">
      <alignment horizontal="left" vertical="top" wrapText="1"/>
      <protection locked="0"/>
    </xf>
    <xf numFmtId="0" fontId="8" fillId="0" borderId="28" xfId="0" applyFont="1" applyBorder="1" applyAlignment="1" applyProtection="1">
      <alignment horizontal="left" vertical="center" wrapText="1" shrinkToFit="1"/>
      <protection locked="0"/>
    </xf>
    <xf numFmtId="49" fontId="8" fillId="0" borderId="28" xfId="0" applyNumberFormat="1" applyFont="1" applyBorder="1" applyAlignment="1" applyProtection="1">
      <alignment horizontal="left" vertical="center" wrapText="1" shrinkToFit="1"/>
      <protection locked="0"/>
    </xf>
    <xf numFmtId="49" fontId="8" fillId="0" borderId="28" xfId="0" applyNumberFormat="1" applyFont="1" applyBorder="1" applyAlignment="1" applyProtection="1">
      <alignment horizontal="center" vertical="center" wrapText="1" shrinkToFit="1"/>
      <protection locked="0"/>
    </xf>
    <xf numFmtId="44" fontId="31" fillId="0" borderId="28" xfId="4" applyNumberFormat="1" applyFont="1" applyBorder="1" applyAlignment="1" applyProtection="1">
      <alignment horizontal="center" vertical="center"/>
      <protection locked="0"/>
    </xf>
    <xf numFmtId="0" fontId="31" fillId="0" borderId="28" xfId="0" applyFont="1" applyBorder="1" applyAlignment="1" applyProtection="1">
      <alignment horizontal="center"/>
      <protection locked="0"/>
    </xf>
    <xf numFmtId="0" fontId="30" fillId="0" borderId="28" xfId="0" applyFont="1" applyBorder="1" applyProtection="1">
      <protection locked="0"/>
    </xf>
    <xf numFmtId="43" fontId="31" fillId="0" borderId="28" xfId="0" applyNumberFormat="1" applyFont="1" applyBorder="1" applyProtection="1">
      <protection locked="0"/>
    </xf>
    <xf numFmtId="0" fontId="53" fillId="0" borderId="67" xfId="0" applyFont="1" applyBorder="1" applyAlignment="1" applyProtection="1">
      <alignment horizontal="center" vertical="center"/>
      <protection locked="0"/>
    </xf>
    <xf numFmtId="0" fontId="48" fillId="20" borderId="20" xfId="0" applyFont="1" applyFill="1" applyBorder="1" applyAlignment="1" applyProtection="1">
      <alignment wrapText="1"/>
      <protection locked="0"/>
    </xf>
    <xf numFmtId="0" fontId="53" fillId="0" borderId="67" xfId="0" applyFont="1" applyBorder="1" applyProtection="1">
      <protection locked="0"/>
    </xf>
    <xf numFmtId="0" fontId="8" fillId="0" borderId="28" xfId="0" applyFont="1" applyBorder="1" applyAlignment="1" applyProtection="1">
      <alignment horizontal="left" vertical="center" wrapText="1"/>
      <protection locked="0"/>
    </xf>
    <xf numFmtId="0" fontId="30" fillId="9" borderId="28" xfId="0" applyFont="1" applyFill="1" applyBorder="1" applyAlignment="1" applyProtection="1">
      <alignment wrapText="1"/>
      <protection locked="0"/>
    </xf>
    <xf numFmtId="0" fontId="30" fillId="9" borderId="28" xfId="0" applyFont="1" applyFill="1" applyBorder="1" applyAlignment="1" applyProtection="1">
      <alignment horizontal="left" wrapText="1"/>
      <protection locked="0"/>
    </xf>
    <xf numFmtId="0" fontId="30" fillId="9" borderId="28" xfId="0" applyFont="1" applyFill="1" applyBorder="1" applyAlignment="1" applyProtection="1">
      <alignment horizontal="center" wrapText="1"/>
      <protection locked="0"/>
    </xf>
    <xf numFmtId="44" fontId="31" fillId="9" borderId="28" xfId="0" applyNumberFormat="1" applyFont="1" applyFill="1" applyBorder="1" applyAlignment="1" applyProtection="1">
      <alignment wrapText="1"/>
      <protection locked="0"/>
    </xf>
    <xf numFmtId="0" fontId="31" fillId="9" borderId="28" xfId="0" applyFont="1" applyFill="1" applyBorder="1" applyAlignment="1" applyProtection="1">
      <alignment horizontal="center" wrapText="1"/>
      <protection locked="0"/>
    </xf>
    <xf numFmtId="43" fontId="31" fillId="9" borderId="28" xfId="0" applyNumberFormat="1" applyFont="1" applyFill="1" applyBorder="1" applyProtection="1">
      <protection locked="0"/>
    </xf>
    <xf numFmtId="0" fontId="7" fillId="9" borderId="28" xfId="0" applyFont="1" applyFill="1" applyBorder="1" applyAlignment="1" applyProtection="1">
      <alignment horizontal="left" vertical="top" wrapText="1"/>
      <protection locked="0"/>
    </xf>
    <xf numFmtId="0" fontId="34" fillId="9" borderId="28" xfId="0" applyFont="1" applyFill="1" applyBorder="1" applyAlignment="1" applyProtection="1">
      <alignment wrapText="1"/>
      <protection locked="0"/>
    </xf>
    <xf numFmtId="0" fontId="34" fillId="9" borderId="28" xfId="0" applyFont="1" applyFill="1" applyBorder="1" applyAlignment="1" applyProtection="1">
      <alignment horizontal="left" wrapText="1"/>
      <protection locked="0"/>
    </xf>
    <xf numFmtId="0" fontId="34" fillId="9" borderId="28" xfId="0" applyFont="1" applyFill="1" applyBorder="1" applyAlignment="1" applyProtection="1">
      <alignment horizontal="center" wrapText="1"/>
      <protection locked="0"/>
    </xf>
    <xf numFmtId="12" fontId="8" fillId="0" borderId="28" xfId="0" applyNumberFormat="1" applyFont="1" applyBorder="1" applyAlignment="1" applyProtection="1">
      <alignment horizontal="left" vertical="center" wrapText="1" shrinkToFit="1"/>
      <protection locked="0"/>
    </xf>
    <xf numFmtId="0" fontId="7" fillId="9" borderId="28" xfId="0" applyFont="1" applyFill="1" applyBorder="1" applyAlignment="1" applyProtection="1">
      <alignment horizontal="left" vertical="center" wrapText="1"/>
      <protection locked="0"/>
    </xf>
    <xf numFmtId="44" fontId="31" fillId="9" borderId="28" xfId="0" applyNumberFormat="1" applyFont="1" applyFill="1" applyBorder="1" applyProtection="1"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0" fontId="8" fillId="0" borderId="28" xfId="0" applyFont="1" applyBorder="1" applyAlignment="1" applyProtection="1">
      <alignment wrapText="1"/>
      <protection locked="0"/>
    </xf>
    <xf numFmtId="49" fontId="8" fillId="0" borderId="28" xfId="0" applyNumberFormat="1" applyFont="1" applyBorder="1" applyAlignment="1" applyProtection="1">
      <alignment horizontal="left" wrapText="1"/>
      <protection locked="0"/>
    </xf>
    <xf numFmtId="44" fontId="31" fillId="0" borderId="28" xfId="0" applyNumberFormat="1" applyFont="1" applyBorder="1" applyProtection="1">
      <protection locked="0"/>
    </xf>
    <xf numFmtId="0" fontId="8" fillId="9" borderId="28" xfId="0" applyFont="1" applyFill="1" applyBorder="1" applyAlignment="1" applyProtection="1">
      <alignment wrapText="1"/>
      <protection locked="0"/>
    </xf>
    <xf numFmtId="49" fontId="8" fillId="9" borderId="28" xfId="0" applyNumberFormat="1" applyFont="1" applyFill="1" applyBorder="1" applyAlignment="1" applyProtection="1">
      <alignment horizontal="left" wrapText="1"/>
      <protection locked="0"/>
    </xf>
    <xf numFmtId="49" fontId="8" fillId="9" borderId="28" xfId="0" applyNumberFormat="1" applyFont="1" applyFill="1" applyBorder="1" applyAlignment="1" applyProtection="1">
      <alignment horizontal="center" vertical="center" wrapText="1" shrinkToFit="1"/>
      <protection locked="0"/>
    </xf>
    <xf numFmtId="0" fontId="51" fillId="0" borderId="61" xfId="0" applyFont="1" applyBorder="1" applyAlignment="1" applyProtection="1">
      <alignment wrapText="1"/>
      <protection locked="0"/>
    </xf>
    <xf numFmtId="0" fontId="34" fillId="0" borderId="28" xfId="0" applyFont="1" applyBorder="1" applyProtection="1">
      <protection locked="0"/>
    </xf>
    <xf numFmtId="0" fontId="34" fillId="9" borderId="28" xfId="0" applyFont="1" applyFill="1" applyBorder="1" applyProtection="1">
      <protection locked="0"/>
    </xf>
    <xf numFmtId="2" fontId="8" fillId="0" borderId="28" xfId="0" applyNumberFormat="1" applyFont="1" applyBorder="1" applyAlignment="1" applyProtection="1">
      <alignment horizontal="left" vertical="center" wrapText="1"/>
      <protection locked="0"/>
    </xf>
    <xf numFmtId="0" fontId="30" fillId="0" borderId="28" xfId="0" applyFont="1" applyBorder="1" applyAlignment="1" applyProtection="1">
      <alignment horizontal="left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wrapText="1"/>
      <protection locked="0"/>
    </xf>
    <xf numFmtId="0" fontId="31" fillId="0" borderId="28" xfId="0" applyFont="1" applyBorder="1" applyProtection="1">
      <protection locked="0"/>
    </xf>
    <xf numFmtId="0" fontId="53" fillId="9" borderId="28" xfId="0" applyFont="1" applyFill="1" applyBorder="1" applyProtection="1">
      <protection locked="0"/>
    </xf>
    <xf numFmtId="0" fontId="53" fillId="9" borderId="28" xfId="0" applyFont="1" applyFill="1" applyBorder="1" applyAlignment="1" applyProtection="1">
      <alignment horizontal="left"/>
      <protection locked="0"/>
    </xf>
    <xf numFmtId="0" fontId="53" fillId="9" borderId="28" xfId="0" applyFont="1" applyFill="1" applyBorder="1" applyAlignment="1" applyProtection="1">
      <alignment horizontal="center"/>
      <protection locked="0"/>
    </xf>
    <xf numFmtId="0" fontId="52" fillId="9" borderId="28" xfId="0" applyFont="1" applyFill="1" applyBorder="1" applyAlignment="1" applyProtection="1">
      <alignment horizontal="center"/>
      <protection locked="0"/>
    </xf>
    <xf numFmtId="2" fontId="8" fillId="0" borderId="28" xfId="0" applyNumberFormat="1" applyFont="1" applyBorder="1" applyAlignment="1" applyProtection="1">
      <alignment horizontal="left" vertical="center"/>
      <protection locked="0"/>
    </xf>
    <xf numFmtId="12" fontId="30" fillId="0" borderId="28" xfId="0" applyNumberFormat="1" applyFont="1" applyBorder="1" applyAlignment="1" applyProtection="1">
      <alignment horizontal="left"/>
      <protection locked="0"/>
    </xf>
    <xf numFmtId="2" fontId="7" fillId="9" borderId="28" xfId="0" applyNumberFormat="1" applyFont="1" applyFill="1" applyBorder="1" applyAlignment="1" applyProtection="1">
      <alignment vertical="top" wrapText="1"/>
      <protection locked="0"/>
    </xf>
    <xf numFmtId="12" fontId="30" fillId="9" borderId="28" xfId="0" applyNumberFormat="1" applyFont="1" applyFill="1" applyBorder="1" applyAlignment="1" applyProtection="1">
      <alignment horizontal="left"/>
      <protection locked="0"/>
    </xf>
    <xf numFmtId="0" fontId="55" fillId="0" borderId="67" xfId="0" applyFont="1" applyBorder="1" applyProtection="1">
      <protection locked="0"/>
    </xf>
    <xf numFmtId="12" fontId="8" fillId="0" borderId="28" xfId="0" applyNumberFormat="1" applyFont="1" applyBorder="1" applyAlignment="1" applyProtection="1">
      <alignment horizontal="left" vertical="center" wrapText="1"/>
      <protection locked="0"/>
    </xf>
    <xf numFmtId="44" fontId="30" fillId="9" borderId="28" xfId="0" applyNumberFormat="1" applyFont="1" applyFill="1" applyBorder="1" applyAlignment="1" applyProtection="1">
      <alignment horizontal="left"/>
      <protection locked="0"/>
    </xf>
    <xf numFmtId="0" fontId="7" fillId="0" borderId="28" xfId="0" applyFont="1" applyBorder="1" applyAlignment="1" applyProtection="1">
      <alignment wrapText="1"/>
      <protection locked="0"/>
    </xf>
    <xf numFmtId="44" fontId="30" fillId="0" borderId="28" xfId="0" applyNumberFormat="1" applyFont="1" applyBorder="1" applyAlignment="1" applyProtection="1">
      <alignment horizontal="left"/>
      <protection locked="0"/>
    </xf>
    <xf numFmtId="4" fontId="31" fillId="0" borderId="28" xfId="0" applyNumberFormat="1" applyFont="1" applyBorder="1" applyProtection="1">
      <protection locked="0"/>
    </xf>
    <xf numFmtId="4" fontId="31" fillId="9" borderId="28" xfId="0" applyNumberFormat="1" applyFont="1" applyFill="1" applyBorder="1" applyProtection="1">
      <protection locked="0"/>
    </xf>
    <xf numFmtId="0" fontId="7" fillId="9" borderId="28" xfId="0" applyFont="1" applyFill="1" applyBorder="1" applyAlignment="1" applyProtection="1">
      <alignment wrapText="1"/>
      <protection locked="0"/>
    </xf>
    <xf numFmtId="2" fontId="8" fillId="9" borderId="28" xfId="0" applyNumberFormat="1" applyFont="1" applyFill="1" applyBorder="1" applyAlignment="1" applyProtection="1">
      <alignment horizontal="left" vertical="center" wrapText="1"/>
      <protection locked="0"/>
    </xf>
    <xf numFmtId="0" fontId="48" fillId="20" borderId="68" xfId="0" applyFont="1" applyFill="1" applyBorder="1" applyAlignment="1" applyProtection="1">
      <alignment wrapText="1"/>
      <protection locked="0"/>
    </xf>
    <xf numFmtId="0" fontId="56" fillId="0" borderId="62" xfId="0" applyFont="1" applyBorder="1" applyProtection="1">
      <protection locked="0"/>
    </xf>
    <xf numFmtId="12" fontId="30" fillId="9" borderId="28" xfId="0" applyNumberFormat="1" applyFont="1" applyFill="1" applyBorder="1" applyProtection="1">
      <protection locked="0"/>
    </xf>
    <xf numFmtId="12" fontId="30" fillId="9" borderId="28" xfId="0" applyNumberFormat="1" applyFont="1" applyFill="1" applyBorder="1" applyAlignment="1" applyProtection="1">
      <alignment horizontal="center"/>
      <protection locked="0"/>
    </xf>
    <xf numFmtId="12" fontId="31" fillId="9" borderId="28" xfId="0" applyNumberFormat="1" applyFont="1" applyFill="1" applyBorder="1" applyAlignment="1" applyProtection="1">
      <alignment horizontal="left"/>
      <protection locked="0"/>
    </xf>
    <xf numFmtId="0" fontId="31" fillId="0" borderId="28" xfId="0" applyFont="1" applyBorder="1" applyAlignment="1" applyProtection="1">
      <alignment wrapText="1"/>
      <protection locked="0"/>
    </xf>
    <xf numFmtId="2" fontId="31" fillId="0" borderId="28" xfId="0" applyNumberFormat="1" applyFont="1" applyBorder="1" applyProtection="1">
      <protection locked="0"/>
    </xf>
    <xf numFmtId="2" fontId="30" fillId="9" borderId="28" xfId="0" applyNumberFormat="1" applyFont="1" applyFill="1" applyBorder="1" applyAlignment="1" applyProtection="1">
      <alignment horizontal="left"/>
      <protection locked="0"/>
    </xf>
    <xf numFmtId="0" fontId="8" fillId="0" borderId="28" xfId="0" applyFont="1" applyBorder="1" applyProtection="1">
      <protection locked="0"/>
    </xf>
    <xf numFmtId="0" fontId="31" fillId="9" borderId="28" xfId="0" applyFont="1" applyFill="1" applyBorder="1" applyAlignment="1" applyProtection="1">
      <alignment wrapText="1"/>
      <protection locked="0"/>
    </xf>
    <xf numFmtId="0" fontId="8" fillId="9" borderId="28" xfId="0" applyFont="1" applyFill="1" applyBorder="1" applyProtection="1">
      <protection locked="0"/>
    </xf>
    <xf numFmtId="0" fontId="30" fillId="0" borderId="28" xfId="0" applyFont="1" applyBorder="1" applyAlignment="1" applyProtection="1">
      <alignment horizontal="center" wrapText="1"/>
      <protection locked="0"/>
    </xf>
    <xf numFmtId="0" fontId="51" fillId="9" borderId="61" xfId="0" applyFont="1" applyFill="1" applyBorder="1" applyProtection="1">
      <protection locked="0"/>
    </xf>
    <xf numFmtId="2" fontId="7" fillId="0" borderId="28" xfId="0" applyNumberFormat="1" applyFont="1" applyBorder="1" applyAlignment="1" applyProtection="1">
      <alignment horizontal="left" vertical="center" wrapText="1"/>
      <protection locked="0"/>
    </xf>
    <xf numFmtId="0" fontId="31" fillId="0" borderId="28" xfId="0" applyFont="1" applyBorder="1" applyAlignment="1" applyProtection="1">
      <alignment horizontal="center" wrapText="1"/>
      <protection locked="0"/>
    </xf>
    <xf numFmtId="0" fontId="30" fillId="0" borderId="28" xfId="0" applyFont="1" applyBorder="1" applyAlignment="1" applyProtection="1">
      <alignment horizontal="center" vertical="center"/>
      <protection locked="0"/>
    </xf>
    <xf numFmtId="0" fontId="30" fillId="9" borderId="28" xfId="0" applyFont="1" applyFill="1" applyBorder="1" applyAlignment="1" applyProtection="1">
      <alignment horizontal="center" vertical="center"/>
      <protection locked="0"/>
    </xf>
    <xf numFmtId="0" fontId="8" fillId="9" borderId="28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Protection="1">
      <protection locked="0"/>
    </xf>
    <xf numFmtId="0" fontId="7" fillId="0" borderId="28" xfId="0" applyFont="1" applyBorder="1" applyAlignment="1" applyProtection="1">
      <alignment horizontal="left" wrapText="1"/>
      <protection locked="0"/>
    </xf>
    <xf numFmtId="2" fontId="7" fillId="9" borderId="28" xfId="0" applyNumberFormat="1" applyFont="1" applyFill="1" applyBorder="1" applyAlignment="1" applyProtection="1">
      <alignment vertical="center" wrapText="1"/>
      <protection locked="0"/>
    </xf>
    <xf numFmtId="0" fontId="30" fillId="4" borderId="28" xfId="0" applyFont="1" applyFill="1" applyBorder="1" applyProtection="1">
      <protection locked="0"/>
    </xf>
    <xf numFmtId="2" fontId="7" fillId="9" borderId="28" xfId="0" applyNumberFormat="1" applyFont="1" applyFill="1" applyBorder="1" applyAlignment="1" applyProtection="1">
      <alignment horizontal="left" vertical="center" wrapText="1"/>
      <protection locked="0"/>
    </xf>
    <xf numFmtId="0" fontId="30" fillId="0" borderId="28" xfId="0" applyFont="1" applyBorder="1" applyAlignment="1" applyProtection="1">
      <alignment horizontal="right"/>
      <protection locked="0"/>
    </xf>
    <xf numFmtId="0" fontId="8" fillId="9" borderId="28" xfId="0" applyFont="1" applyFill="1" applyBorder="1" applyAlignment="1" applyProtection="1">
      <alignment horizontal="left" vertical="center" wrapText="1" shrinkToFit="1"/>
      <protection locked="0"/>
    </xf>
    <xf numFmtId="0" fontId="8" fillId="9" borderId="28" xfId="0" applyFont="1" applyFill="1" applyBorder="1" applyAlignment="1" applyProtection="1">
      <alignment vertical="center" wrapText="1"/>
      <protection locked="0"/>
    </xf>
    <xf numFmtId="0" fontId="53" fillId="9" borderId="28" xfId="0" applyFont="1" applyFill="1" applyBorder="1" applyAlignment="1" applyProtection="1">
      <alignment wrapText="1"/>
      <protection locked="0"/>
    </xf>
    <xf numFmtId="0" fontId="8" fillId="9" borderId="28" xfId="0" applyFont="1" applyFill="1" applyBorder="1" applyAlignment="1" applyProtection="1">
      <alignment horizontal="left" vertical="center" wrapText="1"/>
      <protection locked="0"/>
    </xf>
    <xf numFmtId="0" fontId="30" fillId="0" borderId="67" xfId="0" applyFont="1" applyBorder="1" applyProtection="1">
      <protection locked="0"/>
    </xf>
    <xf numFmtId="0" fontId="7" fillId="0" borderId="3" xfId="0" applyFont="1" applyBorder="1" applyAlignment="1" applyProtection="1">
      <alignment wrapText="1"/>
      <protection locked="0"/>
    </xf>
    <xf numFmtId="0" fontId="7" fillId="0" borderId="20" xfId="0" applyFont="1" applyBorder="1" applyAlignment="1" applyProtection="1">
      <alignment wrapText="1"/>
      <protection locked="0"/>
    </xf>
    <xf numFmtId="0" fontId="7" fillId="0" borderId="28" xfId="0" applyFont="1" applyBorder="1" applyProtection="1">
      <protection locked="0"/>
    </xf>
    <xf numFmtId="2" fontId="7" fillId="0" borderId="28" xfId="0" applyNumberFormat="1" applyFont="1" applyBorder="1" applyAlignment="1" applyProtection="1">
      <alignment vertical="center" wrapText="1"/>
      <protection locked="0"/>
    </xf>
    <xf numFmtId="2" fontId="7" fillId="0" borderId="28" xfId="0" applyNumberFormat="1" applyFont="1" applyBorder="1" applyAlignment="1" applyProtection="1">
      <alignment horizontal="left" vertical="top" wrapText="1"/>
      <protection locked="0"/>
    </xf>
    <xf numFmtId="0" fontId="7" fillId="5" borderId="28" xfId="0" applyFont="1" applyFill="1" applyBorder="1" applyAlignment="1" applyProtection="1">
      <alignment horizontal="left" vertical="center" wrapText="1"/>
      <protection locked="0"/>
    </xf>
    <xf numFmtId="43" fontId="7" fillId="0" borderId="28" xfId="4" applyFont="1" applyBorder="1" applyAlignment="1" applyProtection="1">
      <alignment horizontal="center" vertical="center" wrapText="1"/>
      <protection locked="0"/>
    </xf>
    <xf numFmtId="0" fontId="8" fillId="0" borderId="28" xfId="0" applyFont="1" applyBorder="1" applyAlignment="1" applyProtection="1">
      <alignment horizontal="center" wrapText="1"/>
      <protection locked="0"/>
    </xf>
    <xf numFmtId="4" fontId="7" fillId="0" borderId="28" xfId="4" applyNumberFormat="1" applyFont="1" applyBorder="1" applyAlignment="1" applyProtection="1">
      <alignment horizontal="right" vertical="center" wrapText="1"/>
      <protection locked="0"/>
    </xf>
    <xf numFmtId="4" fontId="31" fillId="0" borderId="47" xfId="0" applyNumberFormat="1" applyFont="1" applyBorder="1" applyProtection="1">
      <protection locked="0"/>
    </xf>
    <xf numFmtId="0" fontId="30" fillId="0" borderId="46" xfId="0" applyFont="1" applyBorder="1" applyProtection="1">
      <protection locked="0"/>
    </xf>
    <xf numFmtId="0" fontId="30" fillId="5" borderId="28" xfId="0" applyFont="1" applyFill="1" applyBorder="1" applyProtection="1">
      <protection locked="0"/>
    </xf>
    <xf numFmtId="0" fontId="30" fillId="5" borderId="28" xfId="0" applyFont="1" applyFill="1" applyBorder="1" applyAlignment="1" applyProtection="1">
      <alignment horizontal="left"/>
      <protection locked="0"/>
    </xf>
    <xf numFmtId="44" fontId="31" fillId="5" borderId="28" xfId="0" applyNumberFormat="1" applyFont="1" applyFill="1" applyBorder="1" applyProtection="1">
      <protection locked="0"/>
    </xf>
    <xf numFmtId="0" fontId="31" fillId="5" borderId="28" xfId="0" applyFont="1" applyFill="1" applyBorder="1" applyAlignment="1" applyProtection="1">
      <alignment horizontal="center"/>
      <protection locked="0"/>
    </xf>
    <xf numFmtId="4" fontId="30" fillId="0" borderId="28" xfId="0" applyNumberFormat="1" applyFont="1" applyBorder="1" applyProtection="1">
      <protection locked="0"/>
    </xf>
    <xf numFmtId="0" fontId="53" fillId="0" borderId="62" xfId="0" applyFont="1" applyBorder="1" applyProtection="1">
      <protection locked="0"/>
    </xf>
    <xf numFmtId="4" fontId="7" fillId="0" borderId="28" xfId="4" applyNumberFormat="1" applyFont="1" applyBorder="1" applyAlignment="1" applyProtection="1">
      <alignment horizontal="center" vertical="center" wrapText="1"/>
      <protection locked="0"/>
    </xf>
    <xf numFmtId="0" fontId="8" fillId="4" borderId="28" xfId="0" applyFont="1" applyFill="1" applyBorder="1" applyAlignment="1" applyProtection="1">
      <alignment wrapText="1"/>
      <protection locked="0"/>
    </xf>
    <xf numFmtId="0" fontId="31" fillId="0" borderId="28" xfId="0" applyFont="1" applyBorder="1" applyAlignment="1" applyProtection="1">
      <alignment horizontal="left"/>
      <protection locked="0"/>
    </xf>
    <xf numFmtId="0" fontId="51" fillId="0" borderId="63" xfId="0" applyFont="1" applyBorder="1" applyAlignment="1" applyProtection="1">
      <alignment wrapText="1"/>
      <protection locked="0"/>
    </xf>
    <xf numFmtId="0" fontId="31" fillId="0" borderId="24" xfId="0" applyFont="1" applyBorder="1" applyProtection="1">
      <protection locked="0"/>
    </xf>
    <xf numFmtId="0" fontId="30" fillId="0" borderId="24" xfId="0" applyFont="1" applyBorder="1" applyProtection="1">
      <protection locked="0"/>
    </xf>
    <xf numFmtId="0" fontId="30" fillId="0" borderId="24" xfId="0" applyFont="1" applyBorder="1" applyAlignment="1" applyProtection="1">
      <alignment horizontal="left"/>
      <protection locked="0"/>
    </xf>
    <xf numFmtId="44" fontId="31" fillId="0" borderId="24" xfId="0" applyNumberFormat="1" applyFont="1" applyBorder="1" applyProtection="1">
      <protection locked="0"/>
    </xf>
    <xf numFmtId="0" fontId="31" fillId="0" borderId="24" xfId="0" applyFont="1" applyBorder="1" applyAlignment="1" applyProtection="1">
      <alignment horizontal="center"/>
      <protection locked="0"/>
    </xf>
    <xf numFmtId="0" fontId="53" fillId="0" borderId="69" xfId="0" applyFont="1" applyBorder="1" applyProtection="1">
      <protection locked="0"/>
    </xf>
    <xf numFmtId="0" fontId="53" fillId="0" borderId="64" xfId="0" applyFont="1" applyBorder="1" applyProtection="1">
      <protection locked="0"/>
    </xf>
    <xf numFmtId="0" fontId="4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4" fillId="4" borderId="28" xfId="1" applyFont="1" applyFill="1" applyBorder="1" applyAlignment="1">
      <alignment horizontal="center" vertical="center" wrapText="1"/>
    </xf>
    <xf numFmtId="0" fontId="14" fillId="7" borderId="20" xfId="1" applyFont="1" applyFill="1" applyBorder="1" applyAlignment="1">
      <alignment horizontal="center" vertical="center" wrapText="1"/>
    </xf>
    <xf numFmtId="2" fontId="8" fillId="0" borderId="3" xfId="0" applyNumberFormat="1" applyFont="1" applyBorder="1" applyAlignment="1" applyProtection="1">
      <alignment horizontal="left" vertical="center" wrapText="1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44" fontId="31" fillId="0" borderId="28" xfId="0" applyNumberFormat="1" applyFont="1" applyBorder="1" applyAlignment="1" applyProtection="1">
      <alignment horizontal="left"/>
      <protection locked="0"/>
    </xf>
    <xf numFmtId="0" fontId="62" fillId="0" borderId="3" xfId="0" applyFont="1" applyBorder="1" applyAlignment="1">
      <alignment wrapText="1"/>
    </xf>
    <xf numFmtId="0" fontId="63" fillId="0" borderId="3" xfId="0" applyFont="1" applyBorder="1" applyAlignment="1">
      <alignment wrapText="1"/>
    </xf>
    <xf numFmtId="0" fontId="30" fillId="4" borderId="70" xfId="0" applyFont="1" applyFill="1" applyBorder="1" applyProtection="1">
      <protection locked="0"/>
    </xf>
    <xf numFmtId="44" fontId="31" fillId="0" borderId="3" xfId="4" applyNumberFormat="1" applyFont="1" applyBorder="1" applyAlignment="1">
      <alignment horizontal="center" vertical="center"/>
    </xf>
    <xf numFmtId="44" fontId="31" fillId="0" borderId="3" xfId="0" applyNumberFormat="1" applyFont="1" applyBorder="1" applyAlignment="1">
      <alignment horizontal="center" vertical="center"/>
    </xf>
    <xf numFmtId="44" fontId="31" fillId="9" borderId="3" xfId="0" applyNumberFormat="1" applyFont="1" applyFill="1" applyBorder="1" applyAlignment="1">
      <alignment horizontal="center" vertical="center"/>
    </xf>
    <xf numFmtId="44" fontId="33" fillId="9" borderId="3" xfId="0" applyNumberFormat="1" applyFont="1" applyFill="1" applyBorder="1" applyAlignment="1">
      <alignment wrapText="1"/>
    </xf>
    <xf numFmtId="44" fontId="31" fillId="0" borderId="3" xfId="0" applyNumberFormat="1" applyFont="1" applyBorder="1"/>
    <xf numFmtId="44" fontId="31" fillId="9" borderId="3" xfId="0" applyNumberFormat="1" applyFont="1" applyFill="1" applyBorder="1"/>
    <xf numFmtId="44" fontId="4" fillId="9" borderId="3" xfId="0" applyNumberFormat="1" applyFont="1" applyFill="1" applyBorder="1"/>
    <xf numFmtId="44" fontId="30" fillId="0" borderId="3" xfId="0" applyNumberFormat="1" applyFont="1" applyBorder="1" applyAlignment="1">
      <alignment horizontal="left"/>
    </xf>
    <xf numFmtId="44" fontId="30" fillId="9" borderId="3" xfId="0" applyNumberFormat="1" applyFont="1" applyFill="1" applyBorder="1" applyAlignment="1">
      <alignment horizontal="left"/>
    </xf>
    <xf numFmtId="0" fontId="31" fillId="5" borderId="28" xfId="0" applyFont="1" applyFill="1" applyBorder="1" applyAlignment="1" applyProtection="1">
      <alignment wrapText="1"/>
      <protection locked="0"/>
    </xf>
    <xf numFmtId="0" fontId="7" fillId="21" borderId="28" xfId="0" applyFont="1" applyFill="1" applyBorder="1" applyAlignment="1" applyProtection="1">
      <alignment horizontal="left" vertical="center" wrapText="1"/>
      <protection locked="0"/>
    </xf>
    <xf numFmtId="2" fontId="8" fillId="21" borderId="28" xfId="0" applyNumberFormat="1" applyFont="1" applyFill="1" applyBorder="1" applyAlignment="1" applyProtection="1">
      <alignment horizontal="left" vertical="center" wrapText="1"/>
      <protection locked="0"/>
    </xf>
    <xf numFmtId="0" fontId="30" fillId="21" borderId="28" xfId="0" applyFont="1" applyFill="1" applyBorder="1" applyAlignment="1" applyProtection="1">
      <alignment horizontal="left"/>
      <protection locked="0"/>
    </xf>
    <xf numFmtId="0" fontId="30" fillId="21" borderId="28" xfId="0" applyFont="1" applyFill="1" applyBorder="1" applyAlignment="1" applyProtection="1">
      <alignment horizontal="center"/>
      <protection locked="0"/>
    </xf>
    <xf numFmtId="44" fontId="31" fillId="21" borderId="28" xfId="0" applyNumberFormat="1" applyFont="1" applyFill="1" applyBorder="1" applyProtection="1">
      <protection locked="0"/>
    </xf>
    <xf numFmtId="0" fontId="31" fillId="21" borderId="28" xfId="0" applyFont="1" applyFill="1" applyBorder="1" applyAlignment="1" applyProtection="1">
      <alignment horizontal="center"/>
      <protection locked="0"/>
    </xf>
    <xf numFmtId="4" fontId="31" fillId="21" borderId="28" xfId="0" applyNumberFormat="1" applyFont="1" applyFill="1" applyBorder="1" applyProtection="1">
      <protection locked="0"/>
    </xf>
    <xf numFmtId="0" fontId="0" fillId="4" borderId="0" xfId="0" applyFill="1" applyProtection="1">
      <protection locked="0"/>
    </xf>
    <xf numFmtId="4" fontId="4" fillId="15" borderId="0" xfId="0" applyNumberFormat="1" applyFont="1" applyFill="1"/>
    <xf numFmtId="44" fontId="8" fillId="9" borderId="3" xfId="0" applyNumberFormat="1" applyFont="1" applyFill="1" applyBorder="1"/>
    <xf numFmtId="0" fontId="65" fillId="0" borderId="28" xfId="0" applyFont="1" applyBorder="1" applyAlignment="1" applyProtection="1">
      <alignment horizontal="left" vertical="center" wrapText="1" shrinkToFit="1"/>
      <protection locked="0"/>
    </xf>
    <xf numFmtId="49" fontId="65" fillId="0" borderId="28" xfId="0" applyNumberFormat="1" applyFont="1" applyBorder="1" applyAlignment="1" applyProtection="1">
      <alignment horizontal="left" wrapText="1"/>
      <protection locked="0"/>
    </xf>
    <xf numFmtId="2" fontId="65" fillId="0" borderId="28" xfId="0" applyNumberFormat="1" applyFont="1" applyBorder="1" applyAlignment="1" applyProtection="1">
      <alignment horizontal="left" vertical="center" wrapText="1"/>
      <protection locked="0"/>
    </xf>
    <xf numFmtId="0" fontId="4" fillId="22" borderId="0" xfId="0" applyFont="1" applyFill="1"/>
    <xf numFmtId="0" fontId="4" fillId="22" borderId="0" xfId="0" applyFont="1" applyFill="1" applyAlignment="1">
      <alignment horizontal="center"/>
    </xf>
    <xf numFmtId="4" fontId="4" fillId="22" borderId="0" xfId="0" applyNumberFormat="1" applyFont="1" applyFill="1" applyAlignment="1">
      <alignment vertical="center"/>
    </xf>
    <xf numFmtId="4" fontId="4" fillId="22" borderId="0" xfId="0" applyNumberFormat="1" applyFont="1" applyFill="1"/>
    <xf numFmtId="3" fontId="4" fillId="22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 vertical="center"/>
    </xf>
    <xf numFmtId="0" fontId="0" fillId="22" borderId="0" xfId="0" applyFill="1"/>
    <xf numFmtId="0" fontId="0" fillId="22" borderId="0" xfId="0" applyFill="1" applyAlignment="1">
      <alignment horizontal="center"/>
    </xf>
    <xf numFmtId="4" fontId="0" fillId="22" borderId="0" xfId="0" applyNumberFormat="1" applyFill="1" applyAlignment="1">
      <alignment vertical="center"/>
    </xf>
    <xf numFmtId="4" fontId="0" fillId="22" borderId="0" xfId="0" applyNumberFormat="1" applyFill="1"/>
    <xf numFmtId="0" fontId="0" fillId="22" borderId="0" xfId="0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left" vertical="center"/>
    </xf>
    <xf numFmtId="0" fontId="0" fillId="22" borderId="3" xfId="0" applyFill="1" applyBorder="1"/>
    <xf numFmtId="0" fontId="0" fillId="22" borderId="3" xfId="0" applyFill="1" applyBorder="1" applyAlignment="1">
      <alignment horizontal="center"/>
    </xf>
    <xf numFmtId="4" fontId="0" fillId="22" borderId="3" xfId="0" applyNumberFormat="1" applyFill="1" applyBorder="1" applyAlignment="1">
      <alignment vertical="center"/>
    </xf>
    <xf numFmtId="4" fontId="4" fillId="22" borderId="3" xfId="0" applyNumberFormat="1" applyFont="1" applyFill="1" applyBorder="1" applyAlignment="1">
      <alignment horizontal="center"/>
    </xf>
    <xf numFmtId="3" fontId="4" fillId="22" borderId="3" xfId="0" applyNumberFormat="1" applyFont="1" applyFill="1" applyBorder="1" applyAlignment="1">
      <alignment horizontal="center"/>
    </xf>
    <xf numFmtId="0" fontId="39" fillId="22" borderId="0" xfId="0" applyFont="1" applyFill="1" applyAlignment="1">
      <alignment horizontal="center" wrapText="1"/>
    </xf>
    <xf numFmtId="4" fontId="4" fillId="22" borderId="3" xfId="0" applyNumberFormat="1" applyFont="1" applyFill="1" applyBorder="1"/>
    <xf numFmtId="4" fontId="4" fillId="22" borderId="32" xfId="0" applyNumberFormat="1" applyFont="1" applyFill="1" applyBorder="1"/>
    <xf numFmtId="3" fontId="4" fillId="22" borderId="32" xfId="0" applyNumberFormat="1" applyFont="1" applyFill="1" applyBorder="1" applyAlignment="1">
      <alignment horizontal="center"/>
    </xf>
    <xf numFmtId="4" fontId="0" fillId="22" borderId="0" xfId="0" applyNumberFormat="1" applyFill="1" applyAlignment="1">
      <alignment horizontal="center" vertical="center"/>
    </xf>
    <xf numFmtId="0" fontId="39" fillId="22" borderId="0" xfId="0" applyFont="1" applyFill="1" applyAlignment="1">
      <alignment horizontal="center"/>
    </xf>
    <xf numFmtId="0" fontId="39" fillId="22" borderId="3" xfId="0" applyFont="1" applyFill="1" applyBorder="1"/>
    <xf numFmtId="0" fontId="39" fillId="22" borderId="3" xfId="0" applyFont="1" applyFill="1" applyBorder="1" applyAlignment="1">
      <alignment horizontal="center"/>
    </xf>
    <xf numFmtId="4" fontId="39" fillId="22" borderId="3" xfId="0" applyNumberFormat="1" applyFont="1" applyFill="1" applyBorder="1" applyAlignment="1">
      <alignment vertical="center"/>
    </xf>
    <xf numFmtId="4" fontId="39" fillId="22" borderId="0" xfId="0" applyNumberFormat="1" applyFont="1" applyFill="1" applyAlignment="1">
      <alignment horizontal="center"/>
    </xf>
    <xf numFmtId="4" fontId="4" fillId="22" borderId="14" xfId="0" applyNumberFormat="1" applyFont="1" applyFill="1" applyBorder="1"/>
    <xf numFmtId="3" fontId="4" fillId="22" borderId="14" xfId="0" applyNumberFormat="1" applyFont="1" applyFill="1" applyBorder="1" applyAlignment="1">
      <alignment horizontal="center"/>
    </xf>
    <xf numFmtId="164" fontId="1" fillId="22" borderId="0" xfId="6" applyFont="1" applyFill="1" applyBorder="1" applyAlignment="1">
      <alignment horizontal="center" vertical="center"/>
    </xf>
    <xf numFmtId="17" fontId="0" fillId="22" borderId="0" xfId="0" applyNumberFormat="1" applyFill="1"/>
    <xf numFmtId="4" fontId="4" fillId="22" borderId="20" xfId="0" applyNumberFormat="1" applyFont="1" applyFill="1" applyBorder="1"/>
    <xf numFmtId="3" fontId="4" fillId="22" borderId="20" xfId="0" applyNumberFormat="1" applyFont="1" applyFill="1" applyBorder="1" applyAlignment="1">
      <alignment horizontal="center"/>
    </xf>
    <xf numFmtId="4" fontId="3" fillId="22" borderId="0" xfId="0" applyNumberFormat="1" applyFont="1" applyFill="1"/>
    <xf numFmtId="0" fontId="41" fillId="22" borderId="28" xfId="0" applyFont="1" applyFill="1" applyBorder="1" applyAlignment="1">
      <alignment horizontal="center"/>
    </xf>
    <xf numFmtId="0" fontId="41" fillId="22" borderId="47" xfId="0" applyFont="1" applyFill="1" applyBorder="1" applyAlignment="1">
      <alignment horizontal="center"/>
    </xf>
    <xf numFmtId="0" fontId="41" fillId="22" borderId="31" xfId="0" applyFont="1" applyFill="1" applyBorder="1" applyAlignment="1">
      <alignment horizontal="center"/>
    </xf>
    <xf numFmtId="4" fontId="4" fillId="22" borderId="0" xfId="0" applyNumberFormat="1" applyFont="1" applyFill="1" applyAlignment="1">
      <alignment horizontal="center" vertical="center"/>
    </xf>
    <xf numFmtId="0" fontId="29" fillId="22" borderId="0" xfId="0" applyFont="1" applyFill="1" applyAlignment="1">
      <alignment horizontal="center"/>
    </xf>
    <xf numFmtId="49" fontId="4" fillId="22" borderId="0" xfId="0" applyNumberFormat="1" applyFont="1" applyFill="1"/>
    <xf numFmtId="4" fontId="0" fillId="22" borderId="3" xfId="0" applyNumberFormat="1" applyFill="1" applyBorder="1"/>
    <xf numFmtId="4" fontId="4" fillId="22" borderId="32" xfId="0" applyNumberFormat="1" applyFont="1" applyFill="1" applyBorder="1" applyAlignment="1">
      <alignment horizontal="center"/>
    </xf>
    <xf numFmtId="0" fontId="0" fillId="22" borderId="32" xfId="0" applyFill="1" applyBorder="1" applyAlignment="1">
      <alignment horizontal="center"/>
    </xf>
    <xf numFmtId="0" fontId="29" fillId="22" borderId="3" xfId="0" applyFont="1" applyFill="1" applyBorder="1" applyAlignment="1">
      <alignment horizontal="center"/>
    </xf>
    <xf numFmtId="0" fontId="3" fillId="22" borderId="3" xfId="0" applyFont="1" applyFill="1" applyBorder="1" applyAlignment="1">
      <alignment horizontal="center"/>
    </xf>
    <xf numFmtId="0" fontId="40" fillId="22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/>
    </xf>
    <xf numFmtId="0" fontId="0" fillId="22" borderId="3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/>
    </xf>
    <xf numFmtId="3" fontId="4" fillId="22" borderId="46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0" borderId="0" xfId="0" applyNumberFormat="1" applyFont="1"/>
    <xf numFmtId="0" fontId="53" fillId="0" borderId="46" xfId="0" applyFont="1" applyBorder="1" applyProtection="1">
      <protection locked="0"/>
    </xf>
    <xf numFmtId="0" fontId="41" fillId="0" borderId="28" xfId="0" applyFont="1" applyBorder="1" applyAlignment="1">
      <alignment horizontal="center"/>
    </xf>
    <xf numFmtId="0" fontId="41" fillId="0" borderId="47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4" fillId="0" borderId="15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7" fillId="0" borderId="40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5" fillId="0" borderId="15" xfId="0" applyFont="1" applyBorder="1" applyAlignment="1">
      <alignment horizontal="center" wrapText="1"/>
    </xf>
    <xf numFmtId="0" fontId="18" fillId="0" borderId="48" xfId="0" applyFont="1" applyBorder="1" applyAlignment="1">
      <alignment horizontal="center" wrapText="1"/>
    </xf>
    <xf numFmtId="0" fontId="18" fillId="0" borderId="49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2" fontId="7" fillId="2" borderId="26" xfId="0" applyNumberFormat="1" applyFont="1" applyFill="1" applyBorder="1" applyAlignment="1">
      <alignment horizontal="center" vertical="center"/>
    </xf>
    <xf numFmtId="43" fontId="8" fillId="0" borderId="32" xfId="4" applyFont="1" applyBorder="1" applyAlignment="1">
      <alignment horizontal="left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49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2" fontId="7" fillId="11" borderId="24" xfId="0" applyNumberFormat="1" applyFont="1" applyFill="1" applyBorder="1" applyAlignment="1">
      <alignment horizontal="center" vertical="center" wrapText="1"/>
    </xf>
    <xf numFmtId="2" fontId="7" fillId="11" borderId="26" xfId="0" applyNumberFormat="1" applyFont="1" applyFill="1" applyBorder="1" applyAlignment="1">
      <alignment horizontal="center" vertical="center" wrapText="1"/>
    </xf>
    <xf numFmtId="2" fontId="7" fillId="11" borderId="19" xfId="0" applyNumberFormat="1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2" fontId="7" fillId="11" borderId="3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26" xfId="0" applyFont="1" applyFill="1" applyBorder="1" applyAlignment="1">
      <alignment horizontal="center" wrapText="1"/>
    </xf>
    <xf numFmtId="0" fontId="7" fillId="4" borderId="19" xfId="0" applyFont="1" applyFill="1" applyBorder="1" applyAlignment="1">
      <alignment horizontal="center" wrapText="1"/>
    </xf>
    <xf numFmtId="0" fontId="7" fillId="11" borderId="24" xfId="0" applyFont="1" applyFill="1" applyBorder="1" applyAlignment="1">
      <alignment horizontal="center" wrapText="1"/>
    </xf>
    <xf numFmtId="0" fontId="7" fillId="11" borderId="26" xfId="0" applyFont="1" applyFill="1" applyBorder="1" applyAlignment="1">
      <alignment horizontal="center" wrapText="1"/>
    </xf>
    <xf numFmtId="0" fontId="7" fillId="11" borderId="19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11" borderId="57" xfId="0" applyFont="1" applyFill="1" applyBorder="1" applyAlignment="1">
      <alignment horizontal="center" wrapText="1"/>
    </xf>
    <xf numFmtId="0" fontId="7" fillId="11" borderId="9" xfId="0" applyFont="1" applyFill="1" applyBorder="1" applyAlignment="1">
      <alignment horizontal="center" wrapText="1"/>
    </xf>
    <xf numFmtId="43" fontId="8" fillId="0" borderId="46" xfId="4" applyFont="1" applyBorder="1" applyAlignment="1">
      <alignment horizontal="left" vertical="center" wrapText="1"/>
    </xf>
    <xf numFmtId="43" fontId="8" fillId="0" borderId="0" xfId="4" applyFont="1" applyBorder="1" applyAlignment="1">
      <alignment horizontal="left" vertical="center" wrapText="1"/>
    </xf>
    <xf numFmtId="4" fontId="7" fillId="0" borderId="24" xfId="4" applyNumberFormat="1" applyFont="1" applyBorder="1" applyAlignment="1">
      <alignment horizontal="center" vertical="center" wrapText="1"/>
    </xf>
    <xf numFmtId="4" fontId="7" fillId="0" borderId="19" xfId="4" applyNumberFormat="1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6" fillId="0" borderId="0" xfId="0" applyFont="1" applyAlignment="1"/>
  </cellXfs>
  <cellStyles count="7">
    <cellStyle name="Dziesiętny" xfId="4" builtinId="3"/>
    <cellStyle name="Dziesiętny 2" xfId="3" xr:uid="{F7420864-6DAE-4401-A9ED-E16CA23F09CC}"/>
    <cellStyle name="Dziesiętny 3" xfId="2" xr:uid="{322ADC07-6207-439C-BB0E-8B40D9EA8EB3}"/>
    <cellStyle name="Dziesiętny 4" xfId="6" xr:uid="{3B34B800-8634-4F25-8F4E-B19F2CAE46B8}"/>
    <cellStyle name="Normal 2" xfId="5" xr:uid="{59855F8B-73BA-4DD5-A3DC-414173B5096D}"/>
    <cellStyle name="Normalny" xfId="0" builtinId="0"/>
    <cellStyle name="Normalny 2" xfId="1" xr:uid="{12B54FB3-5018-4379-B769-F3BAF9CCF4B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B2474093-11AD-4D28-BF5C-DB2B3B4D9B11}">
  <we:reference id="dad26c18-c2c4-4b4c-a1ff-4ac709a41361" version="1.2.0.0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BC88EEE-9B86-41CB-8B1F-EFA07E2A3F94}">
  <we:reference id="fed51590-bb30-4a11-ac26-a6a502b282a3" version="0.4.0.0" store="EXCatalog" storeType="EXCatalog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O1540"/>
  <sheetViews>
    <sheetView zoomScaleNormal="100" workbookViewId="0">
      <pane ySplit="1" topLeftCell="A1280" activePane="bottomLeft" state="frozen"/>
      <selection pane="bottomLeft" activeCell="G1302" sqref="G1302"/>
    </sheetView>
  </sheetViews>
  <sheetFormatPr defaultRowHeight="15"/>
  <cols>
    <col min="1" max="1" width="20.7109375" style="813" customWidth="1"/>
    <col min="2" max="2" width="20.85546875" style="688" customWidth="1"/>
    <col min="3" max="3" width="18" style="688" customWidth="1"/>
    <col min="4" max="4" width="17.28515625" style="688" customWidth="1"/>
    <col min="5" max="5" width="15.7109375" style="688" customWidth="1"/>
    <col min="6" max="6" width="9.140625" style="814"/>
    <col min="7" max="7" width="22.5703125" style="688" customWidth="1"/>
    <col min="8" max="9" width="15.42578125" style="688" customWidth="1"/>
    <col min="10" max="11" width="22.42578125" style="688" customWidth="1"/>
    <col min="12" max="12" width="41.85546875" style="688" customWidth="1"/>
    <col min="13" max="16384" width="9.140625" style="688"/>
  </cols>
  <sheetData>
    <row r="1" spans="1:12" ht="34.5" customHeight="1">
      <c r="A1" s="682" t="s">
        <v>0</v>
      </c>
      <c r="B1" s="815" t="s">
        <v>1</v>
      </c>
      <c r="C1" s="683" t="s">
        <v>2</v>
      </c>
      <c r="D1" s="683" t="s">
        <v>3</v>
      </c>
      <c r="E1" s="683" t="s">
        <v>4</v>
      </c>
      <c r="F1" s="683" t="s">
        <v>5</v>
      </c>
      <c r="G1" s="683" t="s">
        <v>6</v>
      </c>
      <c r="H1" s="815" t="s">
        <v>7</v>
      </c>
      <c r="I1" s="815" t="s">
        <v>8</v>
      </c>
      <c r="J1" s="683" t="s">
        <v>9</v>
      </c>
      <c r="K1" s="683" t="s">
        <v>10</v>
      </c>
      <c r="L1" s="816" t="s">
        <v>11</v>
      </c>
    </row>
    <row r="2" spans="1:12" hidden="1">
      <c r="A2" s="689" t="s">
        <v>12</v>
      </c>
      <c r="B2" s="690" t="s">
        <v>13</v>
      </c>
      <c r="C2" s="691"/>
      <c r="D2" s="691"/>
      <c r="E2" s="692"/>
      <c r="F2" s="693"/>
      <c r="G2" s="694"/>
      <c r="H2" s="695" t="s">
        <v>14</v>
      </c>
      <c r="I2" s="696"/>
      <c r="J2" s="696"/>
      <c r="K2" s="697" t="s">
        <v>15</v>
      </c>
      <c r="L2" s="698" t="s">
        <v>16</v>
      </c>
    </row>
    <row r="3" spans="1:12" hidden="1">
      <c r="A3" s="689" t="s">
        <v>12</v>
      </c>
      <c r="B3" s="699" t="s">
        <v>13</v>
      </c>
      <c r="C3" s="700"/>
      <c r="D3" s="700" t="s">
        <v>17</v>
      </c>
      <c r="E3" s="701" t="s">
        <v>18</v>
      </c>
      <c r="F3" s="702" t="s">
        <v>19</v>
      </c>
      <c r="G3" s="824">
        <f>ROUND('r.PP'!M15,2)</f>
        <v>7.19</v>
      </c>
      <c r="H3" s="704" t="s">
        <v>14</v>
      </c>
      <c r="I3" s="705"/>
      <c r="J3" s="706">
        <v>31</v>
      </c>
      <c r="K3" s="707"/>
      <c r="L3" s="708" t="s">
        <v>20</v>
      </c>
    </row>
    <row r="4" spans="1:12" hidden="1">
      <c r="A4" s="689" t="s">
        <v>12</v>
      </c>
      <c r="B4" s="699" t="s">
        <v>13</v>
      </c>
      <c r="C4" s="700"/>
      <c r="D4" s="700" t="s">
        <v>21</v>
      </c>
      <c r="E4" s="700" t="s">
        <v>22</v>
      </c>
      <c r="F4" s="702" t="s">
        <v>19</v>
      </c>
      <c r="G4" s="824">
        <f>ROUND('r.PP'!M16,2)</f>
        <v>8.11</v>
      </c>
      <c r="H4" s="704" t="s">
        <v>14</v>
      </c>
      <c r="I4" s="705"/>
      <c r="J4" s="706">
        <v>32</v>
      </c>
      <c r="K4" s="709"/>
      <c r="L4" s="708" t="s">
        <v>20</v>
      </c>
    </row>
    <row r="5" spans="1:12" hidden="1">
      <c r="A5" s="689" t="s">
        <v>12</v>
      </c>
      <c r="B5" s="699" t="s">
        <v>13</v>
      </c>
      <c r="C5" s="710"/>
      <c r="D5" s="710" t="s">
        <v>23</v>
      </c>
      <c r="E5" s="710" t="s">
        <v>24</v>
      </c>
      <c r="F5" s="702" t="s">
        <v>19</v>
      </c>
      <c r="G5" s="824">
        <f>ROUND('r.PP'!M17,2)</f>
        <v>11.09</v>
      </c>
      <c r="H5" s="704" t="s">
        <v>14</v>
      </c>
      <c r="I5" s="705"/>
      <c r="J5" s="706">
        <v>33</v>
      </c>
      <c r="K5" s="709"/>
      <c r="L5" s="708" t="s">
        <v>20</v>
      </c>
    </row>
    <row r="6" spans="1:12" hidden="1">
      <c r="A6" s="689" t="s">
        <v>12</v>
      </c>
      <c r="B6" s="699" t="s">
        <v>13</v>
      </c>
      <c r="C6" s="700"/>
      <c r="D6" s="700" t="s">
        <v>25</v>
      </c>
      <c r="E6" s="700" t="s">
        <v>26</v>
      </c>
      <c r="F6" s="702" t="s">
        <v>19</v>
      </c>
      <c r="G6" s="824">
        <f>ROUND('r.PP'!M18,2)</f>
        <v>16.46</v>
      </c>
      <c r="H6" s="704" t="s">
        <v>14</v>
      </c>
      <c r="I6" s="705"/>
      <c r="J6" s="706">
        <v>36</v>
      </c>
      <c r="K6" s="709"/>
      <c r="L6" s="708" t="s">
        <v>20</v>
      </c>
    </row>
    <row r="7" spans="1:12" hidden="1">
      <c r="A7" s="689" t="s">
        <v>12</v>
      </c>
      <c r="B7" s="699" t="s">
        <v>13</v>
      </c>
      <c r="C7" s="700"/>
      <c r="D7" s="700" t="s">
        <v>27</v>
      </c>
      <c r="E7" s="700" t="s">
        <v>28</v>
      </c>
      <c r="F7" s="702" t="s">
        <v>19</v>
      </c>
      <c r="G7" s="824">
        <f>ROUND('r.PP'!M19,2)</f>
        <v>26.02</v>
      </c>
      <c r="H7" s="704" t="s">
        <v>14</v>
      </c>
      <c r="I7" s="705"/>
      <c r="J7" s="706">
        <v>40</v>
      </c>
      <c r="K7" s="709"/>
      <c r="L7" s="708" t="s">
        <v>20</v>
      </c>
    </row>
    <row r="8" spans="1:12" hidden="1">
      <c r="A8" s="689" t="s">
        <v>12</v>
      </c>
      <c r="B8" s="699" t="s">
        <v>13</v>
      </c>
      <c r="C8" s="700"/>
      <c r="D8" s="700" t="s">
        <v>29</v>
      </c>
      <c r="E8" s="700" t="s">
        <v>30</v>
      </c>
      <c r="F8" s="702" t="s">
        <v>19</v>
      </c>
      <c r="G8" s="824">
        <f>ROUND('r.PP'!M20,2)</f>
        <v>39.54</v>
      </c>
      <c r="H8" s="704" t="s">
        <v>14</v>
      </c>
      <c r="I8" s="705"/>
      <c r="J8" s="706">
        <v>45</v>
      </c>
      <c r="K8" s="709"/>
      <c r="L8" s="708" t="s">
        <v>20</v>
      </c>
    </row>
    <row r="9" spans="1:12" hidden="1">
      <c r="A9" s="689" t="s">
        <v>12</v>
      </c>
      <c r="B9" s="699" t="s">
        <v>13</v>
      </c>
      <c r="C9" s="700"/>
      <c r="D9" s="846" t="s">
        <v>31</v>
      </c>
      <c r="E9" s="700" t="s">
        <v>32</v>
      </c>
      <c r="F9" s="702" t="s">
        <v>19</v>
      </c>
      <c r="G9" s="824">
        <f>ROUND('r.PP'!M21,2)</f>
        <v>59.97</v>
      </c>
      <c r="H9" s="704" t="s">
        <v>14</v>
      </c>
      <c r="I9" s="705"/>
      <c r="J9" s="706">
        <v>48</v>
      </c>
      <c r="K9" s="709"/>
      <c r="L9" s="708" t="s">
        <v>20</v>
      </c>
    </row>
    <row r="10" spans="1:12" hidden="1">
      <c r="A10" s="689" t="s">
        <v>12</v>
      </c>
      <c r="B10" s="699" t="s">
        <v>13</v>
      </c>
      <c r="C10" s="700"/>
      <c r="D10" s="700" t="s">
        <v>33</v>
      </c>
      <c r="E10" s="700" t="s">
        <v>34</v>
      </c>
      <c r="F10" s="702" t="s">
        <v>19</v>
      </c>
      <c r="G10" s="824">
        <f>ROUND('r.PP'!M22,2)</f>
        <v>81.62</v>
      </c>
      <c r="H10" s="704" t="s">
        <v>14</v>
      </c>
      <c r="I10" s="705"/>
      <c r="J10" s="706">
        <v>55</v>
      </c>
      <c r="K10" s="709"/>
      <c r="L10" s="708" t="s">
        <v>20</v>
      </c>
    </row>
    <row r="11" spans="1:12" hidden="1">
      <c r="A11" s="689" t="s">
        <v>12</v>
      </c>
      <c r="B11" s="699" t="s">
        <v>13</v>
      </c>
      <c r="C11" s="700"/>
      <c r="D11" s="700" t="s">
        <v>35</v>
      </c>
      <c r="E11" s="700" t="s">
        <v>36</v>
      </c>
      <c r="F11" s="702" t="s">
        <v>19</v>
      </c>
      <c r="G11" s="824">
        <f>ROUND('r.PP'!M23,2)</f>
        <v>118.88</v>
      </c>
      <c r="H11" s="704" t="s">
        <v>14</v>
      </c>
      <c r="I11" s="705"/>
      <c r="J11" s="706">
        <v>61</v>
      </c>
      <c r="K11" s="709"/>
      <c r="L11" s="708" t="s">
        <v>20</v>
      </c>
    </row>
    <row r="12" spans="1:12" hidden="1">
      <c r="A12" s="689" t="s">
        <v>12</v>
      </c>
      <c r="B12" s="699" t="s">
        <v>13</v>
      </c>
      <c r="C12" s="700"/>
      <c r="D12" s="700" t="s">
        <v>37</v>
      </c>
      <c r="E12" s="700" t="s">
        <v>38</v>
      </c>
      <c r="F12" s="702" t="s">
        <v>19</v>
      </c>
      <c r="G12" s="824">
        <f>ROUND('r.PP'!M24,2)</f>
        <v>181.25</v>
      </c>
      <c r="H12" s="704" t="s">
        <v>14</v>
      </c>
      <c r="I12" s="705"/>
      <c r="J12" s="706">
        <v>66</v>
      </c>
      <c r="K12" s="709"/>
      <c r="L12" s="708" t="s">
        <v>20</v>
      </c>
    </row>
    <row r="13" spans="1:12" hidden="1">
      <c r="A13" s="689" t="s">
        <v>12</v>
      </c>
      <c r="B13" s="690" t="s">
        <v>39</v>
      </c>
      <c r="C13" s="691"/>
      <c r="D13" s="691"/>
      <c r="E13" s="692"/>
      <c r="F13" s="693"/>
      <c r="G13" s="694"/>
      <c r="H13" s="695" t="s">
        <v>14</v>
      </c>
      <c r="I13" s="691"/>
      <c r="J13" s="690"/>
      <c r="K13" s="709"/>
      <c r="L13" s="708" t="s">
        <v>20</v>
      </c>
    </row>
    <row r="14" spans="1:12" hidden="1">
      <c r="A14" s="689" t="s">
        <v>12</v>
      </c>
      <c r="B14" s="699" t="s">
        <v>39</v>
      </c>
      <c r="C14" s="700"/>
      <c r="D14" s="700" t="s">
        <v>17</v>
      </c>
      <c r="E14" s="700" t="s">
        <v>18</v>
      </c>
      <c r="F14" s="702" t="s">
        <v>19</v>
      </c>
      <c r="G14" s="825">
        <f>ROUND('r.PP'!M28,2)</f>
        <v>10.26</v>
      </c>
      <c r="H14" s="704" t="s">
        <v>14</v>
      </c>
      <c r="I14" s="705"/>
      <c r="J14" s="706">
        <f>J3</f>
        <v>31</v>
      </c>
      <c r="K14" s="709"/>
      <c r="L14" s="708" t="s">
        <v>20</v>
      </c>
    </row>
    <row r="15" spans="1:12" hidden="1">
      <c r="A15" s="689" t="s">
        <v>12</v>
      </c>
      <c r="B15" s="699" t="s">
        <v>39</v>
      </c>
      <c r="C15" s="700"/>
      <c r="D15" s="700" t="s">
        <v>21</v>
      </c>
      <c r="E15" s="700" t="s">
        <v>22</v>
      </c>
      <c r="F15" s="702" t="s">
        <v>19</v>
      </c>
      <c r="G15" s="825">
        <f>ROUND('r.PP'!M29,2)</f>
        <v>12.84</v>
      </c>
      <c r="H15" s="704" t="s">
        <v>14</v>
      </c>
      <c r="I15" s="705"/>
      <c r="J15" s="706">
        <f t="shared" ref="J15:J23" si="0">J4</f>
        <v>32</v>
      </c>
      <c r="K15" s="709"/>
      <c r="L15" s="708" t="s">
        <v>20</v>
      </c>
    </row>
    <row r="16" spans="1:12" hidden="1">
      <c r="A16" s="689" t="s">
        <v>12</v>
      </c>
      <c r="B16" s="699" t="s">
        <v>39</v>
      </c>
      <c r="C16" s="710"/>
      <c r="D16" s="710" t="s">
        <v>23</v>
      </c>
      <c r="E16" s="710" t="s">
        <v>24</v>
      </c>
      <c r="F16" s="702" t="s">
        <v>19</v>
      </c>
      <c r="G16" s="825">
        <f>ROUND('r.PP'!M30,2)</f>
        <v>17.989999999999998</v>
      </c>
      <c r="H16" s="704" t="s">
        <v>14</v>
      </c>
      <c r="I16" s="705"/>
      <c r="J16" s="706">
        <f t="shared" si="0"/>
        <v>33</v>
      </c>
      <c r="K16" s="709"/>
      <c r="L16" s="708" t="s">
        <v>20</v>
      </c>
    </row>
    <row r="17" spans="1:12" hidden="1">
      <c r="A17" s="689" t="s">
        <v>12</v>
      </c>
      <c r="B17" s="699" t="s">
        <v>39</v>
      </c>
      <c r="C17" s="700"/>
      <c r="D17" s="700" t="s">
        <v>25</v>
      </c>
      <c r="E17" s="700" t="s">
        <v>26</v>
      </c>
      <c r="F17" s="702" t="s">
        <v>19</v>
      </c>
      <c r="G17" s="825">
        <f>ROUND('r.PP'!M31,2)</f>
        <v>25.26</v>
      </c>
      <c r="H17" s="704" t="s">
        <v>14</v>
      </c>
      <c r="I17" s="705"/>
      <c r="J17" s="706">
        <f t="shared" si="0"/>
        <v>36</v>
      </c>
      <c r="K17" s="709"/>
      <c r="L17" s="708" t="s">
        <v>20</v>
      </c>
    </row>
    <row r="18" spans="1:12" hidden="1">
      <c r="A18" s="689" t="s">
        <v>12</v>
      </c>
      <c r="B18" s="699" t="s">
        <v>39</v>
      </c>
      <c r="C18" s="700"/>
      <c r="D18" s="700" t="s">
        <v>27</v>
      </c>
      <c r="E18" s="700" t="s">
        <v>28</v>
      </c>
      <c r="F18" s="702" t="s">
        <v>19</v>
      </c>
      <c r="G18" s="825">
        <f>ROUND('r.PP'!M32,2)</f>
        <v>35.200000000000003</v>
      </c>
      <c r="H18" s="704" t="s">
        <v>14</v>
      </c>
      <c r="I18" s="705"/>
      <c r="J18" s="706">
        <f t="shared" si="0"/>
        <v>40</v>
      </c>
      <c r="K18" s="709"/>
      <c r="L18" s="708" t="s">
        <v>20</v>
      </c>
    </row>
    <row r="19" spans="1:12" hidden="1">
      <c r="A19" s="689" t="s">
        <v>12</v>
      </c>
      <c r="B19" s="699" t="s">
        <v>39</v>
      </c>
      <c r="C19" s="700"/>
      <c r="D19" s="700" t="s">
        <v>29</v>
      </c>
      <c r="E19" s="700" t="s">
        <v>30</v>
      </c>
      <c r="F19" s="702" t="s">
        <v>19</v>
      </c>
      <c r="G19" s="825">
        <f>ROUND('r.PP'!M33,2)</f>
        <v>50.14</v>
      </c>
      <c r="H19" s="704" t="s">
        <v>14</v>
      </c>
      <c r="I19" s="705"/>
      <c r="J19" s="706">
        <f t="shared" si="0"/>
        <v>45</v>
      </c>
      <c r="K19" s="709"/>
      <c r="L19" s="708" t="s">
        <v>20</v>
      </c>
    </row>
    <row r="20" spans="1:12" hidden="1">
      <c r="A20" s="689" t="s">
        <v>12</v>
      </c>
      <c r="B20" s="699" t="s">
        <v>39</v>
      </c>
      <c r="C20" s="700"/>
      <c r="D20" s="846" t="s">
        <v>31</v>
      </c>
      <c r="E20" s="700" t="s">
        <v>32</v>
      </c>
      <c r="F20" s="702" t="s">
        <v>19</v>
      </c>
      <c r="G20" s="825">
        <f>ROUND('r.PP'!M34,2)</f>
        <v>77.03</v>
      </c>
      <c r="H20" s="704" t="s">
        <v>14</v>
      </c>
      <c r="I20" s="705"/>
      <c r="J20" s="706">
        <f t="shared" si="0"/>
        <v>48</v>
      </c>
      <c r="K20" s="709"/>
      <c r="L20" s="708" t="s">
        <v>20</v>
      </c>
    </row>
    <row r="21" spans="1:12" hidden="1">
      <c r="A21" s="689" t="s">
        <v>12</v>
      </c>
      <c r="B21" s="699" t="s">
        <v>39</v>
      </c>
      <c r="C21" s="700"/>
      <c r="D21" s="700" t="s">
        <v>33</v>
      </c>
      <c r="E21" s="700" t="s">
        <v>34</v>
      </c>
      <c r="F21" s="702" t="s">
        <v>19</v>
      </c>
      <c r="G21" s="825">
        <f>ROUND('r.PP'!M35,2)</f>
        <v>109.18</v>
      </c>
      <c r="H21" s="704" t="s">
        <v>14</v>
      </c>
      <c r="I21" s="705"/>
      <c r="J21" s="706">
        <f t="shared" si="0"/>
        <v>55</v>
      </c>
      <c r="K21" s="709"/>
      <c r="L21" s="708" t="s">
        <v>20</v>
      </c>
    </row>
    <row r="22" spans="1:12" hidden="1">
      <c r="A22" s="689" t="s">
        <v>12</v>
      </c>
      <c r="B22" s="699" t="s">
        <v>39</v>
      </c>
      <c r="C22" s="700"/>
      <c r="D22" s="700" t="s">
        <v>35</v>
      </c>
      <c r="E22" s="700" t="s">
        <v>36</v>
      </c>
      <c r="F22" s="702" t="s">
        <v>19</v>
      </c>
      <c r="G22" s="825">
        <f>ROUND('r.PP'!M36,2)</f>
        <v>187.62</v>
      </c>
      <c r="H22" s="704" t="s">
        <v>14</v>
      </c>
      <c r="I22" s="705"/>
      <c r="J22" s="706">
        <f t="shared" si="0"/>
        <v>61</v>
      </c>
      <c r="K22" s="709"/>
      <c r="L22" s="708" t="s">
        <v>20</v>
      </c>
    </row>
    <row r="23" spans="1:12" hidden="1">
      <c r="A23" s="689" t="s">
        <v>12</v>
      </c>
      <c r="B23" s="699" t="s">
        <v>39</v>
      </c>
      <c r="C23" s="700"/>
      <c r="D23" s="700" t="s">
        <v>37</v>
      </c>
      <c r="E23" s="700" t="s">
        <v>38</v>
      </c>
      <c r="F23" s="702" t="s">
        <v>19</v>
      </c>
      <c r="G23" s="825">
        <f>ROUND('r.PP'!M37,2)</f>
        <v>298.22000000000003</v>
      </c>
      <c r="H23" s="704" t="s">
        <v>14</v>
      </c>
      <c r="I23" s="705"/>
      <c r="J23" s="706">
        <f t="shared" si="0"/>
        <v>66</v>
      </c>
      <c r="K23" s="709"/>
      <c r="L23" s="708" t="s">
        <v>20</v>
      </c>
    </row>
    <row r="24" spans="1:12" hidden="1">
      <c r="A24" s="689" t="s">
        <v>12</v>
      </c>
      <c r="B24" s="690" t="s">
        <v>13</v>
      </c>
      <c r="C24" s="711"/>
      <c r="D24" s="711"/>
      <c r="E24" s="712"/>
      <c r="F24" s="713"/>
      <c r="G24" s="714"/>
      <c r="H24" s="715" t="s">
        <v>40</v>
      </c>
      <c r="I24" s="691"/>
      <c r="J24" s="690"/>
      <c r="K24" s="709" t="s">
        <v>41</v>
      </c>
      <c r="L24" s="708" t="s">
        <v>20</v>
      </c>
    </row>
    <row r="25" spans="1:12" hidden="1">
      <c r="A25" s="689" t="s">
        <v>12</v>
      </c>
      <c r="B25" s="699" t="s">
        <v>13</v>
      </c>
      <c r="C25" s="700"/>
      <c r="D25" s="700" t="s">
        <v>17</v>
      </c>
      <c r="E25" s="700" t="s">
        <v>18</v>
      </c>
      <c r="F25" s="702" t="s">
        <v>19</v>
      </c>
      <c r="G25" s="703"/>
      <c r="H25" s="704" t="s">
        <v>40</v>
      </c>
      <c r="I25" s="705"/>
      <c r="J25" s="706">
        <f>J14</f>
        <v>31</v>
      </c>
      <c r="K25" s="709"/>
      <c r="L25" s="708" t="s">
        <v>20</v>
      </c>
    </row>
    <row r="26" spans="1:12" hidden="1">
      <c r="A26" s="689" t="s">
        <v>12</v>
      </c>
      <c r="B26" s="699" t="s">
        <v>13</v>
      </c>
      <c r="C26" s="700"/>
      <c r="D26" s="700" t="s">
        <v>21</v>
      </c>
      <c r="E26" s="700" t="s">
        <v>22</v>
      </c>
      <c r="F26" s="702" t="s">
        <v>19</v>
      </c>
      <c r="G26" s="824">
        <f>ROUND('r.PP'!M64,2)</f>
        <v>7.33</v>
      </c>
      <c r="H26" s="704" t="s">
        <v>40</v>
      </c>
      <c r="I26" s="705"/>
      <c r="J26" s="706">
        <f t="shared" ref="J26:J34" si="1">J15</f>
        <v>32</v>
      </c>
      <c r="K26" s="709"/>
      <c r="L26" s="708" t="s">
        <v>20</v>
      </c>
    </row>
    <row r="27" spans="1:12" hidden="1">
      <c r="A27" s="689" t="s">
        <v>12</v>
      </c>
      <c r="B27" s="699" t="s">
        <v>13</v>
      </c>
      <c r="C27" s="710"/>
      <c r="D27" s="710" t="s">
        <v>23</v>
      </c>
      <c r="E27" s="710" t="s">
        <v>24</v>
      </c>
      <c r="F27" s="702" t="s">
        <v>19</v>
      </c>
      <c r="G27" s="824">
        <f>ROUND('r.PP'!M65,2)</f>
        <v>9.31</v>
      </c>
      <c r="H27" s="704" t="s">
        <v>40</v>
      </c>
      <c r="I27" s="705"/>
      <c r="J27" s="706">
        <f t="shared" si="1"/>
        <v>33</v>
      </c>
      <c r="K27" s="709"/>
      <c r="L27" s="708" t="s">
        <v>20</v>
      </c>
    </row>
    <row r="28" spans="1:12" hidden="1">
      <c r="A28" s="689" t="s">
        <v>12</v>
      </c>
      <c r="B28" s="699" t="s">
        <v>13</v>
      </c>
      <c r="C28" s="700"/>
      <c r="D28" s="700" t="s">
        <v>25</v>
      </c>
      <c r="E28" s="700" t="s">
        <v>26</v>
      </c>
      <c r="F28" s="702" t="s">
        <v>19</v>
      </c>
      <c r="G28" s="824">
        <f>ROUND('r.PP'!M66,2)</f>
        <v>13.71</v>
      </c>
      <c r="H28" s="704" t="s">
        <v>40</v>
      </c>
      <c r="I28" s="705"/>
      <c r="J28" s="706">
        <f t="shared" si="1"/>
        <v>36</v>
      </c>
      <c r="K28" s="709"/>
      <c r="L28" s="708" t="s">
        <v>20</v>
      </c>
    </row>
    <row r="29" spans="1:12" hidden="1">
      <c r="A29" s="689" t="s">
        <v>12</v>
      </c>
      <c r="B29" s="699" t="s">
        <v>13</v>
      </c>
      <c r="C29" s="700"/>
      <c r="D29" s="700" t="s">
        <v>27</v>
      </c>
      <c r="E29" s="700" t="s">
        <v>28</v>
      </c>
      <c r="F29" s="702" t="s">
        <v>19</v>
      </c>
      <c r="G29" s="824">
        <f>ROUND('r.PP'!M67,2)</f>
        <v>19.05</v>
      </c>
      <c r="H29" s="704" t="s">
        <v>40</v>
      </c>
      <c r="I29" s="705"/>
      <c r="J29" s="706">
        <f t="shared" si="1"/>
        <v>40</v>
      </c>
      <c r="K29" s="709"/>
      <c r="L29" s="708" t="s">
        <v>20</v>
      </c>
    </row>
    <row r="30" spans="1:12" hidden="1">
      <c r="A30" s="689" t="s">
        <v>12</v>
      </c>
      <c r="B30" s="699" t="s">
        <v>13</v>
      </c>
      <c r="C30" s="700"/>
      <c r="D30" s="700" t="s">
        <v>29</v>
      </c>
      <c r="E30" s="700" t="s">
        <v>30</v>
      </c>
      <c r="F30" s="702" t="s">
        <v>19</v>
      </c>
      <c r="G30" s="824">
        <f>ROUND('r.PP'!M68,2)</f>
        <v>28.15</v>
      </c>
      <c r="H30" s="704" t="s">
        <v>40</v>
      </c>
      <c r="I30" s="705"/>
      <c r="J30" s="706">
        <f t="shared" si="1"/>
        <v>45</v>
      </c>
      <c r="K30" s="709"/>
      <c r="L30" s="708" t="s">
        <v>20</v>
      </c>
    </row>
    <row r="31" spans="1:12" hidden="1">
      <c r="A31" s="689" t="s">
        <v>12</v>
      </c>
      <c r="B31" s="699" t="s">
        <v>13</v>
      </c>
      <c r="C31" s="700"/>
      <c r="D31" s="846" t="s">
        <v>31</v>
      </c>
      <c r="E31" s="700" t="s">
        <v>32</v>
      </c>
      <c r="F31" s="702" t="s">
        <v>19</v>
      </c>
      <c r="G31" s="824">
        <f>ROUND('r.PP'!M69,2)</f>
        <v>43.04</v>
      </c>
      <c r="H31" s="704" t="s">
        <v>40</v>
      </c>
      <c r="I31" s="705"/>
      <c r="J31" s="706">
        <f t="shared" si="1"/>
        <v>48</v>
      </c>
      <c r="K31" s="709"/>
      <c r="L31" s="708" t="s">
        <v>20</v>
      </c>
    </row>
    <row r="32" spans="1:12" hidden="1">
      <c r="A32" s="689" t="s">
        <v>12</v>
      </c>
      <c r="B32" s="699" t="s">
        <v>13</v>
      </c>
      <c r="C32" s="700"/>
      <c r="D32" s="700" t="s">
        <v>33</v>
      </c>
      <c r="E32" s="700" t="s">
        <v>34</v>
      </c>
      <c r="F32" s="702" t="s">
        <v>19</v>
      </c>
      <c r="G32" s="824">
        <f>ROUND('r.PP'!M70,2)</f>
        <v>62.47</v>
      </c>
      <c r="H32" s="704" t="s">
        <v>40</v>
      </c>
      <c r="I32" s="705"/>
      <c r="J32" s="706">
        <f t="shared" si="1"/>
        <v>55</v>
      </c>
      <c r="K32" s="709"/>
      <c r="L32" s="708" t="s">
        <v>20</v>
      </c>
    </row>
    <row r="33" spans="1:12" hidden="1">
      <c r="A33" s="689" t="s">
        <v>12</v>
      </c>
      <c r="B33" s="699" t="s">
        <v>13</v>
      </c>
      <c r="C33" s="700"/>
      <c r="D33" s="700" t="s">
        <v>35</v>
      </c>
      <c r="E33" s="700" t="s">
        <v>36</v>
      </c>
      <c r="F33" s="702" t="s">
        <v>19</v>
      </c>
      <c r="G33" s="824">
        <f>ROUND('r.PP'!M71,2)</f>
        <v>107.95</v>
      </c>
      <c r="H33" s="704" t="s">
        <v>40</v>
      </c>
      <c r="I33" s="705"/>
      <c r="J33" s="706">
        <f t="shared" si="1"/>
        <v>61</v>
      </c>
      <c r="K33" s="709"/>
      <c r="L33" s="708" t="s">
        <v>20</v>
      </c>
    </row>
    <row r="34" spans="1:12" hidden="1">
      <c r="A34" s="689" t="s">
        <v>12</v>
      </c>
      <c r="B34" s="699" t="s">
        <v>13</v>
      </c>
      <c r="C34" s="700"/>
      <c r="D34" s="700" t="s">
        <v>37</v>
      </c>
      <c r="E34" s="700" t="s">
        <v>38</v>
      </c>
      <c r="F34" s="702" t="s">
        <v>19</v>
      </c>
      <c r="G34" s="824">
        <f>ROUND('r.PP'!M72,2)</f>
        <v>168.98</v>
      </c>
      <c r="H34" s="704" t="s">
        <v>40</v>
      </c>
      <c r="I34" s="705"/>
      <c r="J34" s="706">
        <f t="shared" si="1"/>
        <v>66</v>
      </c>
      <c r="K34" s="709"/>
      <c r="L34" s="708" t="s">
        <v>20</v>
      </c>
    </row>
    <row r="35" spans="1:12" hidden="1">
      <c r="A35" s="689" t="s">
        <v>12</v>
      </c>
      <c r="B35" s="690" t="s">
        <v>39</v>
      </c>
      <c r="C35" s="691"/>
      <c r="D35" s="691"/>
      <c r="E35" s="692"/>
      <c r="F35" s="693"/>
      <c r="G35" s="826"/>
      <c r="H35" s="695" t="s">
        <v>40</v>
      </c>
      <c r="I35" s="691"/>
      <c r="J35" s="716">
        <f>J24</f>
        <v>0</v>
      </c>
      <c r="K35" s="709"/>
      <c r="L35" s="708" t="s">
        <v>20</v>
      </c>
    </row>
    <row r="36" spans="1:12" hidden="1">
      <c r="A36" s="689" t="s">
        <v>12</v>
      </c>
      <c r="B36" s="699" t="s">
        <v>39</v>
      </c>
      <c r="C36" s="700"/>
      <c r="D36" s="700" t="s">
        <v>17</v>
      </c>
      <c r="E36" s="700" t="s">
        <v>18</v>
      </c>
      <c r="F36" s="702" t="s">
        <v>19</v>
      </c>
      <c r="G36" s="825">
        <f>ROUND('r.PP'!M76,2)</f>
        <v>10.5</v>
      </c>
      <c r="H36" s="704" t="s">
        <v>40</v>
      </c>
      <c r="I36" s="705"/>
      <c r="J36" s="706">
        <f>J25</f>
        <v>31</v>
      </c>
      <c r="K36" s="709"/>
      <c r="L36" s="708" t="s">
        <v>20</v>
      </c>
    </row>
    <row r="37" spans="1:12" hidden="1">
      <c r="A37" s="689" t="s">
        <v>12</v>
      </c>
      <c r="B37" s="699" t="s">
        <v>39</v>
      </c>
      <c r="C37" s="700"/>
      <c r="D37" s="700" t="s">
        <v>21</v>
      </c>
      <c r="E37" s="700" t="s">
        <v>22</v>
      </c>
      <c r="F37" s="702" t="s">
        <v>19</v>
      </c>
      <c r="G37" s="825">
        <f>ROUND('r.PP'!M77,2)</f>
        <v>11.7</v>
      </c>
      <c r="H37" s="704" t="s">
        <v>40</v>
      </c>
      <c r="I37" s="705"/>
      <c r="J37" s="706">
        <f t="shared" ref="J37:J45" si="2">J26</f>
        <v>32</v>
      </c>
      <c r="K37" s="709"/>
      <c r="L37" s="708" t="s">
        <v>20</v>
      </c>
    </row>
    <row r="38" spans="1:12" hidden="1">
      <c r="A38" s="689" t="s">
        <v>12</v>
      </c>
      <c r="B38" s="699" t="s">
        <v>39</v>
      </c>
      <c r="C38" s="710"/>
      <c r="D38" s="710" t="s">
        <v>23</v>
      </c>
      <c r="E38" s="710" t="s">
        <v>24</v>
      </c>
      <c r="F38" s="702" t="s">
        <v>19</v>
      </c>
      <c r="G38" s="825">
        <f>ROUND('r.PP'!M78,2)</f>
        <v>15.17</v>
      </c>
      <c r="H38" s="704" t="s">
        <v>40</v>
      </c>
      <c r="I38" s="705"/>
      <c r="J38" s="706">
        <f t="shared" si="2"/>
        <v>33</v>
      </c>
      <c r="K38" s="709"/>
      <c r="L38" s="708" t="s">
        <v>20</v>
      </c>
    </row>
    <row r="39" spans="1:12" hidden="1">
      <c r="A39" s="689" t="s">
        <v>12</v>
      </c>
      <c r="B39" s="699" t="s">
        <v>39</v>
      </c>
      <c r="C39" s="700"/>
      <c r="D39" s="700" t="s">
        <v>25</v>
      </c>
      <c r="E39" s="700" t="s">
        <v>26</v>
      </c>
      <c r="F39" s="702" t="s">
        <v>19</v>
      </c>
      <c r="G39" s="825">
        <f>ROUND('r.PP'!M79,2)</f>
        <v>22.01</v>
      </c>
      <c r="H39" s="704" t="s">
        <v>40</v>
      </c>
      <c r="I39" s="705"/>
      <c r="J39" s="706">
        <f t="shared" si="2"/>
        <v>36</v>
      </c>
      <c r="K39" s="709"/>
      <c r="L39" s="708" t="s">
        <v>20</v>
      </c>
    </row>
    <row r="40" spans="1:12" hidden="1">
      <c r="A40" s="689" t="s">
        <v>12</v>
      </c>
      <c r="B40" s="699" t="s">
        <v>39</v>
      </c>
      <c r="C40" s="700"/>
      <c r="D40" s="700" t="s">
        <v>27</v>
      </c>
      <c r="E40" s="700" t="s">
        <v>28</v>
      </c>
      <c r="F40" s="702" t="s">
        <v>19</v>
      </c>
      <c r="G40" s="825">
        <f>ROUND('r.PP'!M80,2)</f>
        <v>30.51</v>
      </c>
      <c r="H40" s="704" t="s">
        <v>40</v>
      </c>
      <c r="I40" s="705"/>
      <c r="J40" s="706">
        <f t="shared" si="2"/>
        <v>40</v>
      </c>
      <c r="K40" s="709"/>
      <c r="L40" s="708" t="s">
        <v>20</v>
      </c>
    </row>
    <row r="41" spans="1:12" hidden="1">
      <c r="A41" s="689" t="s">
        <v>12</v>
      </c>
      <c r="B41" s="699" t="s">
        <v>39</v>
      </c>
      <c r="C41" s="700"/>
      <c r="D41" s="700" t="s">
        <v>29</v>
      </c>
      <c r="E41" s="700" t="s">
        <v>30</v>
      </c>
      <c r="F41" s="702" t="s">
        <v>19</v>
      </c>
      <c r="G41" s="825">
        <f>ROUND('r.PP'!M81,2)</f>
        <v>43.24</v>
      </c>
      <c r="H41" s="704" t="s">
        <v>40</v>
      </c>
      <c r="I41" s="705"/>
      <c r="J41" s="706">
        <f t="shared" si="2"/>
        <v>45</v>
      </c>
      <c r="K41" s="709"/>
      <c r="L41" s="708" t="s">
        <v>20</v>
      </c>
    </row>
    <row r="42" spans="1:12" hidden="1">
      <c r="A42" s="689" t="s">
        <v>12</v>
      </c>
      <c r="B42" s="699" t="s">
        <v>39</v>
      </c>
      <c r="C42" s="700"/>
      <c r="D42" s="846" t="s">
        <v>31</v>
      </c>
      <c r="E42" s="700" t="s">
        <v>32</v>
      </c>
      <c r="F42" s="702" t="s">
        <v>19</v>
      </c>
      <c r="G42" s="825">
        <f>ROUND('r.PP'!M82,2)</f>
        <v>66</v>
      </c>
      <c r="H42" s="704" t="s">
        <v>40</v>
      </c>
      <c r="I42" s="705"/>
      <c r="J42" s="706">
        <f t="shared" si="2"/>
        <v>48</v>
      </c>
      <c r="K42" s="709"/>
      <c r="L42" s="708" t="s">
        <v>20</v>
      </c>
    </row>
    <row r="43" spans="1:12" hidden="1">
      <c r="A43" s="689" t="s">
        <v>12</v>
      </c>
      <c r="B43" s="699" t="s">
        <v>39</v>
      </c>
      <c r="C43" s="700"/>
      <c r="D43" s="700" t="s">
        <v>33</v>
      </c>
      <c r="E43" s="700" t="s">
        <v>34</v>
      </c>
      <c r="F43" s="702" t="s">
        <v>19</v>
      </c>
      <c r="G43" s="825">
        <f>ROUND('r.PP'!M83,2)</f>
        <v>111.91</v>
      </c>
      <c r="H43" s="704" t="s">
        <v>40</v>
      </c>
      <c r="I43" s="705"/>
      <c r="J43" s="706">
        <f t="shared" si="2"/>
        <v>55</v>
      </c>
      <c r="K43" s="709"/>
      <c r="L43" s="708" t="s">
        <v>20</v>
      </c>
    </row>
    <row r="44" spans="1:12" hidden="1">
      <c r="A44" s="689" t="s">
        <v>12</v>
      </c>
      <c r="B44" s="699" t="s">
        <v>39</v>
      </c>
      <c r="C44" s="700"/>
      <c r="D44" s="700" t="s">
        <v>35</v>
      </c>
      <c r="E44" s="700" t="s">
        <v>36</v>
      </c>
      <c r="F44" s="702" t="s">
        <v>19</v>
      </c>
      <c r="G44" s="825">
        <f>ROUND('r.PP'!M84,2)</f>
        <v>189.85</v>
      </c>
      <c r="H44" s="704" t="s">
        <v>40</v>
      </c>
      <c r="I44" s="705"/>
      <c r="J44" s="706">
        <f t="shared" si="2"/>
        <v>61</v>
      </c>
      <c r="K44" s="709"/>
      <c r="L44" s="708" t="s">
        <v>20</v>
      </c>
    </row>
    <row r="45" spans="1:12" hidden="1">
      <c r="A45" s="689" t="s">
        <v>12</v>
      </c>
      <c r="B45" s="699" t="s">
        <v>39</v>
      </c>
      <c r="C45" s="700"/>
      <c r="D45" s="700" t="s">
        <v>37</v>
      </c>
      <c r="E45" s="700" t="s">
        <v>38</v>
      </c>
      <c r="F45" s="702" t="s">
        <v>19</v>
      </c>
      <c r="G45" s="825">
        <f>ROUND('r.PP'!M85,2)</f>
        <v>297.58</v>
      </c>
      <c r="H45" s="704" t="s">
        <v>40</v>
      </c>
      <c r="I45" s="705"/>
      <c r="J45" s="706">
        <f t="shared" si="2"/>
        <v>66</v>
      </c>
      <c r="K45" s="709"/>
      <c r="L45" s="708" t="s">
        <v>20</v>
      </c>
    </row>
    <row r="46" spans="1:12" hidden="1">
      <c r="A46" s="689" t="s">
        <v>12</v>
      </c>
      <c r="B46" s="717" t="s">
        <v>13</v>
      </c>
      <c r="C46" s="718"/>
      <c r="D46" s="718"/>
      <c r="E46" s="719"/>
      <c r="F46" s="720"/>
      <c r="G46" s="827"/>
      <c r="H46" s="715" t="s">
        <v>42</v>
      </c>
      <c r="I46" s="691"/>
      <c r="J46" s="690"/>
      <c r="K46" s="709"/>
      <c r="L46" s="708" t="s">
        <v>20</v>
      </c>
    </row>
    <row r="47" spans="1:12" hidden="1">
      <c r="A47" s="689" t="s">
        <v>12</v>
      </c>
      <c r="B47" s="699" t="s">
        <v>13</v>
      </c>
      <c r="C47" s="700"/>
      <c r="D47" s="700" t="s">
        <v>17</v>
      </c>
      <c r="E47" s="700" t="s">
        <v>18</v>
      </c>
      <c r="F47" s="702" t="s">
        <v>19</v>
      </c>
      <c r="G47" s="824">
        <f>ROUND('r.PP'!M100,2)</f>
        <v>8.5500000000000007</v>
      </c>
      <c r="H47" s="704" t="s">
        <v>42</v>
      </c>
      <c r="I47" s="705"/>
      <c r="J47" s="706">
        <f>J36</f>
        <v>31</v>
      </c>
      <c r="K47" s="709" t="s">
        <v>41</v>
      </c>
      <c r="L47" s="708" t="s">
        <v>20</v>
      </c>
    </row>
    <row r="48" spans="1:12" hidden="1">
      <c r="A48" s="689" t="s">
        <v>12</v>
      </c>
      <c r="B48" s="699" t="s">
        <v>13</v>
      </c>
      <c r="C48" s="700"/>
      <c r="D48" s="700" t="s">
        <v>21</v>
      </c>
      <c r="E48" s="700" t="s">
        <v>22</v>
      </c>
      <c r="F48" s="702" t="s">
        <v>19</v>
      </c>
      <c r="G48" s="824">
        <f>ROUND('r.PP'!M101,2)</f>
        <v>8.83</v>
      </c>
      <c r="H48" s="704" t="s">
        <v>42</v>
      </c>
      <c r="I48" s="705"/>
      <c r="J48" s="706">
        <f t="shared" ref="J48:J56" si="3">J37</f>
        <v>32</v>
      </c>
      <c r="K48" s="709"/>
      <c r="L48" s="708" t="s">
        <v>20</v>
      </c>
    </row>
    <row r="49" spans="1:12" hidden="1">
      <c r="A49" s="689" t="s">
        <v>12</v>
      </c>
      <c r="B49" s="699" t="s">
        <v>13</v>
      </c>
      <c r="C49" s="710"/>
      <c r="D49" s="710" t="s">
        <v>23</v>
      </c>
      <c r="E49" s="710" t="s">
        <v>24</v>
      </c>
      <c r="F49" s="702" t="s">
        <v>19</v>
      </c>
      <c r="G49" s="824">
        <f>ROUND('r.PP'!M102,2)</f>
        <v>12.75</v>
      </c>
      <c r="H49" s="704" t="s">
        <v>42</v>
      </c>
      <c r="I49" s="705"/>
      <c r="J49" s="706">
        <f t="shared" si="3"/>
        <v>33</v>
      </c>
      <c r="K49" s="709"/>
      <c r="L49" s="708" t="s">
        <v>20</v>
      </c>
    </row>
    <row r="50" spans="1:12" hidden="1">
      <c r="A50" s="689" t="s">
        <v>12</v>
      </c>
      <c r="B50" s="699" t="s">
        <v>13</v>
      </c>
      <c r="C50" s="700"/>
      <c r="D50" s="700" t="s">
        <v>25</v>
      </c>
      <c r="E50" s="700" t="s">
        <v>26</v>
      </c>
      <c r="F50" s="702" t="s">
        <v>19</v>
      </c>
      <c r="G50" s="824">
        <f>ROUND('r.PP'!M103,2)</f>
        <v>18.809999999999999</v>
      </c>
      <c r="H50" s="704" t="s">
        <v>42</v>
      </c>
      <c r="I50" s="705"/>
      <c r="J50" s="706">
        <f t="shared" si="3"/>
        <v>36</v>
      </c>
      <c r="K50" s="709"/>
      <c r="L50" s="708" t="s">
        <v>20</v>
      </c>
    </row>
    <row r="51" spans="1:12" hidden="1">
      <c r="A51" s="689" t="s">
        <v>12</v>
      </c>
      <c r="B51" s="699" t="s">
        <v>13</v>
      </c>
      <c r="C51" s="700"/>
      <c r="D51" s="700" t="s">
        <v>27</v>
      </c>
      <c r="E51" s="700" t="s">
        <v>28</v>
      </c>
      <c r="F51" s="702" t="s">
        <v>19</v>
      </c>
      <c r="G51" s="824">
        <f>ROUND('r.PP'!M104,2)</f>
        <v>27.26</v>
      </c>
      <c r="H51" s="704" t="s">
        <v>42</v>
      </c>
      <c r="I51" s="705"/>
      <c r="J51" s="706">
        <f t="shared" si="3"/>
        <v>40</v>
      </c>
      <c r="K51" s="709"/>
      <c r="L51" s="708" t="s">
        <v>20</v>
      </c>
    </row>
    <row r="52" spans="1:12" hidden="1">
      <c r="A52" s="689" t="s">
        <v>12</v>
      </c>
      <c r="B52" s="699" t="s">
        <v>13</v>
      </c>
      <c r="C52" s="700"/>
      <c r="D52" s="700" t="s">
        <v>29</v>
      </c>
      <c r="E52" s="700" t="s">
        <v>30</v>
      </c>
      <c r="F52" s="702" t="s">
        <v>19</v>
      </c>
      <c r="G52" s="824">
        <f>ROUND('r.PP'!M105,2)</f>
        <v>41.18</v>
      </c>
      <c r="H52" s="704" t="s">
        <v>42</v>
      </c>
      <c r="I52" s="705"/>
      <c r="J52" s="706">
        <f t="shared" si="3"/>
        <v>45</v>
      </c>
      <c r="K52" s="709"/>
      <c r="L52" s="708" t="s">
        <v>20</v>
      </c>
    </row>
    <row r="53" spans="1:12" hidden="1">
      <c r="A53" s="689" t="s">
        <v>12</v>
      </c>
      <c r="B53" s="699" t="s">
        <v>13</v>
      </c>
      <c r="C53" s="700"/>
      <c r="D53" s="846" t="s">
        <v>31</v>
      </c>
      <c r="E53" s="700" t="s">
        <v>32</v>
      </c>
      <c r="F53" s="702" t="s">
        <v>19</v>
      </c>
      <c r="G53" s="824">
        <f>ROUND('r.PP'!M106,2)</f>
        <v>63.94</v>
      </c>
      <c r="H53" s="704" t="s">
        <v>42</v>
      </c>
      <c r="I53" s="705"/>
      <c r="J53" s="706">
        <f t="shared" si="3"/>
        <v>48</v>
      </c>
      <c r="K53" s="709"/>
      <c r="L53" s="708" t="s">
        <v>20</v>
      </c>
    </row>
    <row r="54" spans="1:12" hidden="1">
      <c r="A54" s="689" t="s">
        <v>12</v>
      </c>
      <c r="B54" s="699" t="s">
        <v>13</v>
      </c>
      <c r="C54" s="700"/>
      <c r="D54" s="700" t="s">
        <v>33</v>
      </c>
      <c r="E54" s="700" t="s">
        <v>34</v>
      </c>
      <c r="F54" s="702" t="s">
        <v>19</v>
      </c>
      <c r="G54" s="824">
        <f>ROUND('r.PP'!M107,2)</f>
        <v>100.81</v>
      </c>
      <c r="H54" s="704" t="s">
        <v>42</v>
      </c>
      <c r="I54" s="705"/>
      <c r="J54" s="706">
        <f t="shared" si="3"/>
        <v>55</v>
      </c>
      <c r="K54" s="709"/>
      <c r="L54" s="708" t="s">
        <v>20</v>
      </c>
    </row>
    <row r="55" spans="1:12" hidden="1">
      <c r="A55" s="689" t="s">
        <v>12</v>
      </c>
      <c r="B55" s="699" t="s">
        <v>13</v>
      </c>
      <c r="C55" s="700"/>
      <c r="D55" s="700" t="s">
        <v>35</v>
      </c>
      <c r="E55" s="700" t="s">
        <v>36</v>
      </c>
      <c r="F55" s="702" t="s">
        <v>19</v>
      </c>
      <c r="G55" s="824">
        <f>ROUND('r.PP'!M108,2)</f>
        <v>144.27000000000001</v>
      </c>
      <c r="H55" s="704" t="s">
        <v>42</v>
      </c>
      <c r="I55" s="705"/>
      <c r="J55" s="706">
        <f t="shared" si="3"/>
        <v>61</v>
      </c>
      <c r="K55" s="709"/>
      <c r="L55" s="708" t="s">
        <v>20</v>
      </c>
    </row>
    <row r="56" spans="1:12" hidden="1">
      <c r="A56" s="689" t="s">
        <v>12</v>
      </c>
      <c r="B56" s="699" t="s">
        <v>13</v>
      </c>
      <c r="C56" s="700"/>
      <c r="D56" s="700" t="s">
        <v>37</v>
      </c>
      <c r="E56" s="700" t="s">
        <v>38</v>
      </c>
      <c r="F56" s="702" t="s">
        <v>19</v>
      </c>
      <c r="G56" s="824">
        <f>ROUND('r.PP'!M109,2)</f>
        <v>202.68</v>
      </c>
      <c r="H56" s="704" t="s">
        <v>42</v>
      </c>
      <c r="I56" s="705"/>
      <c r="J56" s="706">
        <f t="shared" si="3"/>
        <v>66</v>
      </c>
      <c r="K56" s="709"/>
      <c r="L56" s="708" t="s">
        <v>20</v>
      </c>
    </row>
    <row r="57" spans="1:12" hidden="1">
      <c r="A57" s="689" t="s">
        <v>12</v>
      </c>
      <c r="B57" s="717" t="s">
        <v>39</v>
      </c>
      <c r="C57" s="691"/>
      <c r="D57" s="691"/>
      <c r="E57" s="692"/>
      <c r="F57" s="693"/>
      <c r="G57" s="826"/>
      <c r="H57" s="695" t="s">
        <v>42</v>
      </c>
      <c r="I57" s="691"/>
      <c r="J57" s="690"/>
      <c r="K57" s="709"/>
      <c r="L57" s="708" t="s">
        <v>20</v>
      </c>
    </row>
    <row r="58" spans="1:12" hidden="1">
      <c r="A58" s="689" t="s">
        <v>12</v>
      </c>
      <c r="B58" s="699" t="s">
        <v>39</v>
      </c>
      <c r="C58" s="700"/>
      <c r="D58" s="700" t="s">
        <v>17</v>
      </c>
      <c r="E58" s="700" t="s">
        <v>18</v>
      </c>
      <c r="F58" s="702" t="s">
        <v>19</v>
      </c>
      <c r="G58" s="825">
        <f>ROUND('r.PP'!M123,2)</f>
        <v>13.51</v>
      </c>
      <c r="H58" s="704" t="s">
        <v>42</v>
      </c>
      <c r="I58" s="705"/>
      <c r="J58" s="706">
        <f>J47</f>
        <v>31</v>
      </c>
      <c r="K58" s="709"/>
      <c r="L58" s="708" t="s">
        <v>20</v>
      </c>
    </row>
    <row r="59" spans="1:12" hidden="1">
      <c r="A59" s="689" t="s">
        <v>12</v>
      </c>
      <c r="B59" s="699" t="s">
        <v>39</v>
      </c>
      <c r="C59" s="700"/>
      <c r="D59" s="700" t="s">
        <v>21</v>
      </c>
      <c r="E59" s="700" t="s">
        <v>22</v>
      </c>
      <c r="F59" s="702" t="s">
        <v>19</v>
      </c>
      <c r="G59" s="825">
        <f>ROUND('r.PP'!M124,2)</f>
        <v>14.59</v>
      </c>
      <c r="H59" s="704" t="s">
        <v>42</v>
      </c>
      <c r="I59" s="705"/>
      <c r="J59" s="706">
        <f t="shared" ref="J59:J67" si="4">J48</f>
        <v>32</v>
      </c>
      <c r="K59" s="709"/>
      <c r="L59" s="708" t="s">
        <v>20</v>
      </c>
    </row>
    <row r="60" spans="1:12" hidden="1">
      <c r="A60" s="689" t="s">
        <v>12</v>
      </c>
      <c r="B60" s="699" t="s">
        <v>39</v>
      </c>
      <c r="C60" s="710"/>
      <c r="D60" s="710" t="s">
        <v>23</v>
      </c>
      <c r="E60" s="710" t="s">
        <v>24</v>
      </c>
      <c r="F60" s="702" t="s">
        <v>19</v>
      </c>
      <c r="G60" s="825">
        <f>ROUND('r.PP'!M125,2)</f>
        <v>20.63</v>
      </c>
      <c r="H60" s="704" t="s">
        <v>42</v>
      </c>
      <c r="I60" s="705"/>
      <c r="J60" s="706">
        <f t="shared" si="4"/>
        <v>33</v>
      </c>
      <c r="K60" s="709"/>
      <c r="L60" s="708" t="s">
        <v>20</v>
      </c>
    </row>
    <row r="61" spans="1:12" hidden="1">
      <c r="A61" s="689" t="s">
        <v>12</v>
      </c>
      <c r="B61" s="699" t="s">
        <v>39</v>
      </c>
      <c r="C61" s="700"/>
      <c r="D61" s="700" t="s">
        <v>25</v>
      </c>
      <c r="E61" s="700">
        <v>1</v>
      </c>
      <c r="F61" s="702" t="s">
        <v>19</v>
      </c>
      <c r="G61" s="825">
        <f>ROUND('r.PP'!M126,2)</f>
        <v>28.8</v>
      </c>
      <c r="H61" s="704" t="s">
        <v>42</v>
      </c>
      <c r="I61" s="705"/>
      <c r="J61" s="706">
        <f t="shared" si="4"/>
        <v>36</v>
      </c>
      <c r="K61" s="709"/>
      <c r="L61" s="708" t="s">
        <v>20</v>
      </c>
    </row>
    <row r="62" spans="1:12" hidden="1">
      <c r="A62" s="689" t="s">
        <v>12</v>
      </c>
      <c r="B62" s="699" t="s">
        <v>39</v>
      </c>
      <c r="C62" s="700"/>
      <c r="D62" s="700" t="s">
        <v>27</v>
      </c>
      <c r="E62" s="721">
        <v>1.25</v>
      </c>
      <c r="F62" s="702" t="s">
        <v>19</v>
      </c>
      <c r="G62" s="825">
        <f>ROUND('r.PP'!M127,2)</f>
        <v>39.85</v>
      </c>
      <c r="H62" s="704" t="s">
        <v>42</v>
      </c>
      <c r="I62" s="705"/>
      <c r="J62" s="706">
        <f t="shared" si="4"/>
        <v>40</v>
      </c>
      <c r="K62" s="709"/>
      <c r="L62" s="708" t="s">
        <v>20</v>
      </c>
    </row>
    <row r="63" spans="1:12" hidden="1">
      <c r="A63" s="689" t="s">
        <v>12</v>
      </c>
      <c r="B63" s="699" t="s">
        <v>39</v>
      </c>
      <c r="C63" s="700"/>
      <c r="D63" s="700" t="s">
        <v>29</v>
      </c>
      <c r="E63" s="721">
        <v>1.5</v>
      </c>
      <c r="F63" s="702" t="s">
        <v>19</v>
      </c>
      <c r="G63" s="825">
        <f>ROUND('r.PP'!M128,2)</f>
        <v>56.8</v>
      </c>
      <c r="H63" s="704" t="s">
        <v>42</v>
      </c>
      <c r="I63" s="705"/>
      <c r="J63" s="706">
        <f t="shared" si="4"/>
        <v>45</v>
      </c>
      <c r="K63" s="709"/>
      <c r="L63" s="708" t="s">
        <v>20</v>
      </c>
    </row>
    <row r="64" spans="1:12" hidden="1">
      <c r="A64" s="689" t="s">
        <v>12</v>
      </c>
      <c r="B64" s="699" t="s">
        <v>39</v>
      </c>
      <c r="C64" s="700"/>
      <c r="D64" s="846" t="s">
        <v>31</v>
      </c>
      <c r="E64" s="700">
        <v>2</v>
      </c>
      <c r="F64" s="702" t="s">
        <v>19</v>
      </c>
      <c r="G64" s="825">
        <f>ROUND('r.PP'!M129,2)</f>
        <v>88.27</v>
      </c>
      <c r="H64" s="704" t="s">
        <v>42</v>
      </c>
      <c r="I64" s="705"/>
      <c r="J64" s="706">
        <f t="shared" si="4"/>
        <v>48</v>
      </c>
      <c r="K64" s="709"/>
      <c r="L64" s="708" t="s">
        <v>20</v>
      </c>
    </row>
    <row r="65" spans="1:12" hidden="1">
      <c r="A65" s="689" t="s">
        <v>12</v>
      </c>
      <c r="B65" s="699" t="s">
        <v>39</v>
      </c>
      <c r="C65" s="700"/>
      <c r="D65" s="700" t="s">
        <v>33</v>
      </c>
      <c r="E65" s="721">
        <v>2.5</v>
      </c>
      <c r="F65" s="702" t="s">
        <v>19</v>
      </c>
      <c r="G65" s="825">
        <f>ROUND('r.PP'!M130,2)</f>
        <v>125.76</v>
      </c>
      <c r="H65" s="704" t="s">
        <v>42</v>
      </c>
      <c r="I65" s="705"/>
      <c r="J65" s="706">
        <f t="shared" si="4"/>
        <v>55</v>
      </c>
      <c r="K65" s="709"/>
      <c r="L65" s="708" t="s">
        <v>20</v>
      </c>
    </row>
    <row r="66" spans="1:12" hidden="1">
      <c r="A66" s="689" t="s">
        <v>12</v>
      </c>
      <c r="B66" s="699" t="s">
        <v>39</v>
      </c>
      <c r="C66" s="700"/>
      <c r="D66" s="700" t="s">
        <v>35</v>
      </c>
      <c r="E66" s="700">
        <v>3</v>
      </c>
      <c r="F66" s="702" t="s">
        <v>19</v>
      </c>
      <c r="G66" s="825">
        <f>ROUND('r.PP'!M131,2)</f>
        <v>215.41</v>
      </c>
      <c r="H66" s="704" t="s">
        <v>42</v>
      </c>
      <c r="I66" s="705"/>
      <c r="J66" s="706">
        <f t="shared" si="4"/>
        <v>61</v>
      </c>
      <c r="K66" s="709"/>
      <c r="L66" s="708" t="s">
        <v>20</v>
      </c>
    </row>
    <row r="67" spans="1:12" hidden="1">
      <c r="A67" s="689" t="s">
        <v>12</v>
      </c>
      <c r="B67" s="699" t="s">
        <v>39</v>
      </c>
      <c r="C67" s="700"/>
      <c r="D67" s="700" t="s">
        <v>37</v>
      </c>
      <c r="E67" s="700">
        <v>4</v>
      </c>
      <c r="F67" s="702" t="s">
        <v>19</v>
      </c>
      <c r="G67" s="825">
        <f>ROUND('r.PP'!M132,2)</f>
        <v>326.62</v>
      </c>
      <c r="H67" s="704" t="s">
        <v>42</v>
      </c>
      <c r="I67" s="705"/>
      <c r="J67" s="706">
        <f t="shared" si="4"/>
        <v>66</v>
      </c>
      <c r="K67" s="709"/>
      <c r="L67" s="708" t="s">
        <v>20</v>
      </c>
    </row>
    <row r="68" spans="1:12" hidden="1">
      <c r="A68" s="689" t="s">
        <v>43</v>
      </c>
      <c r="B68" s="722" t="s">
        <v>44</v>
      </c>
      <c r="C68" s="691"/>
      <c r="D68" s="691"/>
      <c r="E68" s="692"/>
      <c r="F68" s="693"/>
      <c r="G68" s="723"/>
      <c r="H68" s="695" t="s">
        <v>45</v>
      </c>
      <c r="I68" s="691"/>
      <c r="J68" s="690"/>
      <c r="K68" s="709"/>
      <c r="L68" s="708" t="s">
        <v>46</v>
      </c>
    </row>
    <row r="69" spans="1:12" hidden="1">
      <c r="A69" s="689" t="s">
        <v>43</v>
      </c>
      <c r="B69" s="724" t="s">
        <v>44</v>
      </c>
      <c r="C69" s="725" t="s">
        <v>47</v>
      </c>
      <c r="D69" s="725" t="s">
        <v>48</v>
      </c>
      <c r="E69" s="726" t="s">
        <v>22</v>
      </c>
      <c r="F69" s="702" t="s">
        <v>19</v>
      </c>
      <c r="G69" s="828">
        <f>ROUND('r.ocynk gwint'!O5,2)</f>
        <v>16.52</v>
      </c>
      <c r="H69" s="704" t="s">
        <v>45</v>
      </c>
      <c r="I69" s="705"/>
      <c r="J69" s="706">
        <v>35</v>
      </c>
      <c r="K69" s="709"/>
      <c r="L69" s="708" t="s">
        <v>46</v>
      </c>
    </row>
    <row r="70" spans="1:12" hidden="1">
      <c r="A70" s="689" t="s">
        <v>43</v>
      </c>
      <c r="B70" s="724" t="s">
        <v>44</v>
      </c>
      <c r="C70" s="725" t="s">
        <v>49</v>
      </c>
      <c r="D70" s="725" t="s">
        <v>50</v>
      </c>
      <c r="E70" s="726" t="s">
        <v>24</v>
      </c>
      <c r="F70" s="702" t="s">
        <v>19</v>
      </c>
      <c r="G70" s="828">
        <f>ROUND('r.ocynk gwint'!O6,2)</f>
        <v>21.39</v>
      </c>
      <c r="H70" s="704" t="s">
        <v>45</v>
      </c>
      <c r="I70" s="705"/>
      <c r="J70" s="706">
        <v>36</v>
      </c>
      <c r="K70" s="709"/>
      <c r="L70" s="708" t="s">
        <v>46</v>
      </c>
    </row>
    <row r="71" spans="1:12" hidden="1">
      <c r="A71" s="689" t="s">
        <v>43</v>
      </c>
      <c r="B71" s="724" t="s">
        <v>44</v>
      </c>
      <c r="C71" s="725" t="s">
        <v>51</v>
      </c>
      <c r="D71" s="725" t="s">
        <v>52</v>
      </c>
      <c r="E71" s="726" t="s">
        <v>26</v>
      </c>
      <c r="F71" s="702" t="s">
        <v>19</v>
      </c>
      <c r="G71" s="828">
        <f>ROUND('r.ocynk gwint'!O7,2)</f>
        <v>32.340000000000003</v>
      </c>
      <c r="H71" s="704" t="s">
        <v>45</v>
      </c>
      <c r="I71" s="705"/>
      <c r="J71" s="706">
        <v>40</v>
      </c>
      <c r="K71" s="709"/>
      <c r="L71" s="708" t="s">
        <v>46</v>
      </c>
    </row>
    <row r="72" spans="1:12" hidden="1">
      <c r="A72" s="689" t="s">
        <v>43</v>
      </c>
      <c r="B72" s="724" t="s">
        <v>44</v>
      </c>
      <c r="C72" s="725" t="s">
        <v>53</v>
      </c>
      <c r="D72" s="725" t="s">
        <v>54</v>
      </c>
      <c r="E72" s="726" t="s">
        <v>28</v>
      </c>
      <c r="F72" s="702" t="s">
        <v>19</v>
      </c>
      <c r="G72" s="828">
        <f>ROUND('r.ocynk gwint'!O8,2)</f>
        <v>43.67</v>
      </c>
      <c r="H72" s="704" t="s">
        <v>45</v>
      </c>
      <c r="I72" s="705"/>
      <c r="J72" s="706">
        <v>43</v>
      </c>
      <c r="K72" s="709"/>
      <c r="L72" s="708" t="s">
        <v>46</v>
      </c>
    </row>
    <row r="73" spans="1:12" hidden="1">
      <c r="A73" s="689" t="s">
        <v>43</v>
      </c>
      <c r="B73" s="724" t="s">
        <v>44</v>
      </c>
      <c r="C73" s="725" t="s">
        <v>55</v>
      </c>
      <c r="D73" s="725" t="s">
        <v>56</v>
      </c>
      <c r="E73" s="726" t="s">
        <v>30</v>
      </c>
      <c r="F73" s="702" t="s">
        <v>19</v>
      </c>
      <c r="G73" s="828">
        <f>ROUND('r.ocynk gwint'!O9,2)</f>
        <v>55.04</v>
      </c>
      <c r="H73" s="704" t="s">
        <v>45</v>
      </c>
      <c r="I73" s="705"/>
      <c r="J73" s="706">
        <v>55</v>
      </c>
      <c r="K73" s="709"/>
      <c r="L73" s="708" t="s">
        <v>46</v>
      </c>
    </row>
    <row r="74" spans="1:12" hidden="1">
      <c r="A74" s="689" t="s">
        <v>43</v>
      </c>
      <c r="B74" s="724" t="s">
        <v>44</v>
      </c>
      <c r="C74" s="725" t="s">
        <v>57</v>
      </c>
      <c r="D74" s="725" t="s">
        <v>58</v>
      </c>
      <c r="E74" s="726" t="s">
        <v>32</v>
      </c>
      <c r="F74" s="702" t="s">
        <v>19</v>
      </c>
      <c r="G74" s="828">
        <f>ROUND('r.ocynk gwint'!O10,2)</f>
        <v>61.92</v>
      </c>
      <c r="H74" s="704" t="s">
        <v>45</v>
      </c>
      <c r="I74" s="705"/>
      <c r="J74" s="706">
        <v>62</v>
      </c>
      <c r="K74" s="709"/>
      <c r="L74" s="708" t="s">
        <v>46</v>
      </c>
    </row>
    <row r="75" spans="1:12" hidden="1">
      <c r="A75" s="689" t="s">
        <v>43</v>
      </c>
      <c r="B75" s="724" t="s">
        <v>44</v>
      </c>
      <c r="C75" s="725" t="s">
        <v>59</v>
      </c>
      <c r="D75" s="844" t="s">
        <v>33</v>
      </c>
      <c r="E75" s="726" t="s">
        <v>34</v>
      </c>
      <c r="F75" s="702" t="s">
        <v>19</v>
      </c>
      <c r="G75" s="828">
        <f>ROUND('r.ocynk gwint'!O11,2)</f>
        <v>109.86</v>
      </c>
      <c r="H75" s="704" t="s">
        <v>45</v>
      </c>
      <c r="I75" s="705"/>
      <c r="J75" s="706">
        <v>70</v>
      </c>
      <c r="K75" s="709"/>
      <c r="L75" s="708" t="s">
        <v>46</v>
      </c>
    </row>
    <row r="76" spans="1:12" hidden="1">
      <c r="A76" s="689" t="s">
        <v>43</v>
      </c>
      <c r="B76" s="724" t="s">
        <v>44</v>
      </c>
      <c r="C76" s="725" t="s">
        <v>60</v>
      </c>
      <c r="D76" s="725" t="s">
        <v>61</v>
      </c>
      <c r="E76" s="726" t="s">
        <v>36</v>
      </c>
      <c r="F76" s="702" t="s">
        <v>19</v>
      </c>
      <c r="G76" s="828">
        <f>ROUND('r.ocynk gwint'!O12,2)</f>
        <v>144.29</v>
      </c>
      <c r="H76" s="704" t="s">
        <v>45</v>
      </c>
      <c r="I76" s="705"/>
      <c r="J76" s="706">
        <v>80</v>
      </c>
      <c r="K76" s="709"/>
      <c r="L76" s="708" t="s">
        <v>46</v>
      </c>
    </row>
    <row r="77" spans="1:12" hidden="1">
      <c r="A77" s="689" t="s">
        <v>43</v>
      </c>
      <c r="B77" s="724" t="s">
        <v>44</v>
      </c>
      <c r="C77" s="725" t="s">
        <v>62</v>
      </c>
      <c r="D77" s="844" t="s">
        <v>37</v>
      </c>
      <c r="E77" s="726" t="s">
        <v>38</v>
      </c>
      <c r="F77" s="702" t="s">
        <v>19</v>
      </c>
      <c r="G77" s="828">
        <f>ROUND('r.ocynk gwint'!O13,2)</f>
        <v>257.66000000000003</v>
      </c>
      <c r="H77" s="704" t="s">
        <v>45</v>
      </c>
      <c r="I77" s="705"/>
      <c r="J77" s="706">
        <v>95</v>
      </c>
      <c r="K77" s="709"/>
      <c r="L77" s="708" t="s">
        <v>46</v>
      </c>
    </row>
    <row r="78" spans="1:12" hidden="1">
      <c r="A78" s="689" t="s">
        <v>43</v>
      </c>
      <c r="B78" s="724" t="s">
        <v>44</v>
      </c>
      <c r="C78" s="725" t="s">
        <v>63</v>
      </c>
      <c r="D78" s="725" t="s">
        <v>64</v>
      </c>
      <c r="E78" s="726" t="s">
        <v>65</v>
      </c>
      <c r="F78" s="702" t="s">
        <v>19</v>
      </c>
      <c r="G78" s="828">
        <f>ROUND('r.ocynk gwint'!O14,2)</f>
        <v>254.57</v>
      </c>
      <c r="H78" s="704" t="s">
        <v>45</v>
      </c>
      <c r="I78" s="705"/>
      <c r="J78" s="706">
        <v>110</v>
      </c>
      <c r="K78" s="709"/>
      <c r="L78" s="708" t="s">
        <v>46</v>
      </c>
    </row>
    <row r="79" spans="1:12" hidden="1">
      <c r="A79" s="689" t="s">
        <v>43</v>
      </c>
      <c r="B79" s="724" t="s">
        <v>44</v>
      </c>
      <c r="C79" s="725" t="s">
        <v>66</v>
      </c>
      <c r="D79" s="725" t="s">
        <v>67</v>
      </c>
      <c r="E79" s="726" t="s">
        <v>68</v>
      </c>
      <c r="F79" s="702" t="s">
        <v>19</v>
      </c>
      <c r="G79" s="828">
        <f>ROUND('r.ocynk gwint'!O15,2)</f>
        <v>0</v>
      </c>
      <c r="H79" s="704" t="s">
        <v>45</v>
      </c>
      <c r="I79" s="705"/>
      <c r="J79" s="706">
        <v>120</v>
      </c>
      <c r="K79" s="709"/>
      <c r="L79" s="708" t="s">
        <v>46</v>
      </c>
    </row>
    <row r="80" spans="1:12" hidden="1">
      <c r="A80" s="689" t="s">
        <v>43</v>
      </c>
      <c r="B80" s="722" t="s">
        <v>44</v>
      </c>
      <c r="C80" s="691"/>
      <c r="D80" s="691"/>
      <c r="E80" s="692"/>
      <c r="F80" s="693"/>
      <c r="G80" s="829"/>
      <c r="H80" s="695" t="s">
        <v>45</v>
      </c>
      <c r="I80" s="691"/>
      <c r="J80" s="690"/>
      <c r="K80" s="709"/>
      <c r="L80" s="708" t="s">
        <v>46</v>
      </c>
    </row>
    <row r="81" spans="1:12" hidden="1">
      <c r="A81" s="689" t="s">
        <v>43</v>
      </c>
      <c r="B81" s="724" t="s">
        <v>44</v>
      </c>
      <c r="C81" s="725" t="s">
        <v>47</v>
      </c>
      <c r="D81" s="725" t="s">
        <v>48</v>
      </c>
      <c r="E81" s="726" t="s">
        <v>22</v>
      </c>
      <c r="F81" s="702" t="s">
        <v>19</v>
      </c>
      <c r="G81" s="828">
        <f>ROUND('r.ocynk gwint'!O20,2)</f>
        <v>30.73</v>
      </c>
      <c r="H81" s="704" t="s">
        <v>45</v>
      </c>
      <c r="I81" s="705" t="s">
        <v>69</v>
      </c>
      <c r="J81" s="706">
        <f>J69</f>
        <v>35</v>
      </c>
      <c r="K81" s="709"/>
      <c r="L81" s="708" t="s">
        <v>46</v>
      </c>
    </row>
    <row r="82" spans="1:12" hidden="1">
      <c r="A82" s="689" t="s">
        <v>43</v>
      </c>
      <c r="B82" s="724" t="s">
        <v>44</v>
      </c>
      <c r="C82" s="725" t="s">
        <v>49</v>
      </c>
      <c r="D82" s="725" t="s">
        <v>50</v>
      </c>
      <c r="E82" s="726" t="s">
        <v>24</v>
      </c>
      <c r="F82" s="702" t="s">
        <v>19</v>
      </c>
      <c r="G82" s="828">
        <f>ROUND('r.ocynk gwint'!O21,2)</f>
        <v>37.270000000000003</v>
      </c>
      <c r="H82" s="704" t="s">
        <v>45</v>
      </c>
      <c r="I82" s="705" t="s">
        <v>69</v>
      </c>
      <c r="J82" s="706">
        <f t="shared" ref="J82:J91" si="5">J70</f>
        <v>36</v>
      </c>
      <c r="K82" s="709"/>
      <c r="L82" s="708" t="s">
        <v>46</v>
      </c>
    </row>
    <row r="83" spans="1:12" hidden="1">
      <c r="A83" s="689" t="s">
        <v>43</v>
      </c>
      <c r="B83" s="724" t="s">
        <v>44</v>
      </c>
      <c r="C83" s="725" t="s">
        <v>51</v>
      </c>
      <c r="D83" s="725" t="s">
        <v>52</v>
      </c>
      <c r="E83" s="726" t="s">
        <v>26</v>
      </c>
      <c r="F83" s="702" t="s">
        <v>19</v>
      </c>
      <c r="G83" s="828">
        <f>ROUND('r.ocynk gwint'!O22,2)</f>
        <v>53.11</v>
      </c>
      <c r="H83" s="704" t="s">
        <v>45</v>
      </c>
      <c r="I83" s="705" t="s">
        <v>69</v>
      </c>
      <c r="J83" s="706">
        <f t="shared" si="5"/>
        <v>40</v>
      </c>
      <c r="K83" s="709"/>
      <c r="L83" s="708" t="s">
        <v>46</v>
      </c>
    </row>
    <row r="84" spans="1:12" hidden="1">
      <c r="A84" s="689" t="s">
        <v>43</v>
      </c>
      <c r="B84" s="724" t="s">
        <v>44</v>
      </c>
      <c r="C84" s="725" t="s">
        <v>53</v>
      </c>
      <c r="D84" s="725" t="s">
        <v>54</v>
      </c>
      <c r="E84" s="726" t="s">
        <v>28</v>
      </c>
      <c r="F84" s="702" t="s">
        <v>19</v>
      </c>
      <c r="G84" s="828">
        <f>ROUND('r.ocynk gwint'!O23,2)</f>
        <v>73.56</v>
      </c>
      <c r="H84" s="704" t="s">
        <v>45</v>
      </c>
      <c r="I84" s="705" t="s">
        <v>69</v>
      </c>
      <c r="J84" s="706">
        <f t="shared" si="5"/>
        <v>43</v>
      </c>
      <c r="K84" s="709"/>
      <c r="L84" s="708" t="s">
        <v>46</v>
      </c>
    </row>
    <row r="85" spans="1:12" hidden="1">
      <c r="A85" s="689" t="s">
        <v>43</v>
      </c>
      <c r="B85" s="724" t="s">
        <v>44</v>
      </c>
      <c r="C85" s="725" t="s">
        <v>55</v>
      </c>
      <c r="D85" s="725" t="s">
        <v>56</v>
      </c>
      <c r="E85" s="726" t="s">
        <v>30</v>
      </c>
      <c r="F85" s="702" t="s">
        <v>19</v>
      </c>
      <c r="G85" s="828">
        <f>ROUND('r.ocynk gwint'!O24,2)</f>
        <v>86.11</v>
      </c>
      <c r="H85" s="704" t="s">
        <v>45</v>
      </c>
      <c r="I85" s="705" t="s">
        <v>69</v>
      </c>
      <c r="J85" s="706">
        <f t="shared" si="5"/>
        <v>55</v>
      </c>
      <c r="K85" s="709"/>
      <c r="L85" s="708" t="s">
        <v>46</v>
      </c>
    </row>
    <row r="86" spans="1:12" hidden="1">
      <c r="A86" s="689" t="s">
        <v>43</v>
      </c>
      <c r="B86" s="724" t="s">
        <v>44</v>
      </c>
      <c r="C86" s="725" t="s">
        <v>57</v>
      </c>
      <c r="D86" s="725" t="s">
        <v>58</v>
      </c>
      <c r="E86" s="726" t="s">
        <v>32</v>
      </c>
      <c r="F86" s="702" t="s">
        <v>19</v>
      </c>
      <c r="G86" s="828">
        <f>ROUND('r.ocynk gwint'!O25,2)</f>
        <v>107.55</v>
      </c>
      <c r="H86" s="704" t="s">
        <v>45</v>
      </c>
      <c r="I86" s="705" t="s">
        <v>69</v>
      </c>
      <c r="J86" s="706">
        <f t="shared" si="5"/>
        <v>62</v>
      </c>
      <c r="K86" s="709"/>
      <c r="L86" s="708" t="s">
        <v>46</v>
      </c>
    </row>
    <row r="87" spans="1:12" hidden="1">
      <c r="A87" s="689" t="s">
        <v>43</v>
      </c>
      <c r="B87" s="724" t="s">
        <v>44</v>
      </c>
      <c r="C87" s="725" t="s">
        <v>59</v>
      </c>
      <c r="D87" s="844" t="s">
        <v>33</v>
      </c>
      <c r="E87" s="726" t="s">
        <v>34</v>
      </c>
      <c r="F87" s="702" t="s">
        <v>19</v>
      </c>
      <c r="G87" s="828">
        <f>ROUND('r.ocynk gwint'!O26,2)</f>
        <v>160.13</v>
      </c>
      <c r="H87" s="704" t="s">
        <v>45</v>
      </c>
      <c r="I87" s="705" t="s">
        <v>69</v>
      </c>
      <c r="J87" s="706">
        <f t="shared" si="5"/>
        <v>70</v>
      </c>
      <c r="K87" s="709"/>
      <c r="L87" s="708" t="s">
        <v>46</v>
      </c>
    </row>
    <row r="88" spans="1:12" hidden="1">
      <c r="A88" s="689" t="s">
        <v>43</v>
      </c>
      <c r="B88" s="724" t="s">
        <v>44</v>
      </c>
      <c r="C88" s="725" t="s">
        <v>60</v>
      </c>
      <c r="D88" s="725" t="s">
        <v>61</v>
      </c>
      <c r="E88" s="726" t="s">
        <v>36</v>
      </c>
      <c r="F88" s="702" t="s">
        <v>19</v>
      </c>
      <c r="G88" s="828">
        <f>ROUND('r.ocynk gwint'!O27,2)</f>
        <v>207.02</v>
      </c>
      <c r="H88" s="704" t="s">
        <v>45</v>
      </c>
      <c r="I88" s="705" t="s">
        <v>69</v>
      </c>
      <c r="J88" s="706">
        <f t="shared" si="5"/>
        <v>80</v>
      </c>
      <c r="K88" s="709"/>
      <c r="L88" s="708" t="s">
        <v>46</v>
      </c>
    </row>
    <row r="89" spans="1:12" hidden="1">
      <c r="A89" s="689" t="s">
        <v>43</v>
      </c>
      <c r="B89" s="724" t="s">
        <v>44</v>
      </c>
      <c r="C89" s="725" t="s">
        <v>62</v>
      </c>
      <c r="D89" s="844" t="s">
        <v>37</v>
      </c>
      <c r="E89" s="726" t="s">
        <v>38</v>
      </c>
      <c r="F89" s="702" t="s">
        <v>19</v>
      </c>
      <c r="G89" s="828">
        <f>ROUND('r.ocynk gwint'!O28,2)</f>
        <v>351.37</v>
      </c>
      <c r="H89" s="704" t="s">
        <v>45</v>
      </c>
      <c r="I89" s="705" t="s">
        <v>69</v>
      </c>
      <c r="J89" s="706">
        <f t="shared" si="5"/>
        <v>95</v>
      </c>
      <c r="K89" s="709"/>
      <c r="L89" s="708" t="s">
        <v>46</v>
      </c>
    </row>
    <row r="90" spans="1:12" hidden="1">
      <c r="A90" s="689" t="s">
        <v>43</v>
      </c>
      <c r="B90" s="724" t="s">
        <v>44</v>
      </c>
      <c r="C90" s="725" t="s">
        <v>63</v>
      </c>
      <c r="D90" s="725" t="s">
        <v>64</v>
      </c>
      <c r="E90" s="726" t="s">
        <v>65</v>
      </c>
      <c r="F90" s="702" t="s">
        <v>19</v>
      </c>
      <c r="G90" s="828">
        <f>ROUND('r.ocynk gwint'!O29,2)</f>
        <v>318.27999999999997</v>
      </c>
      <c r="H90" s="704" t="s">
        <v>45</v>
      </c>
      <c r="I90" s="705" t="s">
        <v>69</v>
      </c>
      <c r="J90" s="706">
        <f t="shared" si="5"/>
        <v>110</v>
      </c>
      <c r="K90" s="709"/>
      <c r="L90" s="708" t="s">
        <v>46</v>
      </c>
    </row>
    <row r="91" spans="1:12" hidden="1">
      <c r="A91" s="689" t="s">
        <v>43</v>
      </c>
      <c r="B91" s="724" t="s">
        <v>44</v>
      </c>
      <c r="C91" s="725" t="s">
        <v>66</v>
      </c>
      <c r="D91" s="725" t="s">
        <v>67</v>
      </c>
      <c r="E91" s="726" t="s">
        <v>68</v>
      </c>
      <c r="F91" s="702" t="s">
        <v>19</v>
      </c>
      <c r="G91" s="828">
        <f>ROUND('r.ocynk gwint'!O30,2)</f>
        <v>414.64</v>
      </c>
      <c r="H91" s="704" t="s">
        <v>45</v>
      </c>
      <c r="I91" s="705" t="s">
        <v>69</v>
      </c>
      <c r="J91" s="706">
        <f t="shared" si="5"/>
        <v>120</v>
      </c>
      <c r="K91" s="709"/>
      <c r="L91" s="708" t="s">
        <v>46</v>
      </c>
    </row>
    <row r="92" spans="1:12" hidden="1">
      <c r="A92" s="689" t="s">
        <v>70</v>
      </c>
      <c r="B92" s="722" t="s">
        <v>71</v>
      </c>
      <c r="C92" s="728"/>
      <c r="D92" s="728"/>
      <c r="E92" s="729"/>
      <c r="F92" s="730"/>
      <c r="G92" s="829"/>
      <c r="H92" s="695" t="s">
        <v>45</v>
      </c>
      <c r="I92" s="691"/>
      <c r="J92" s="716"/>
      <c r="K92" s="709"/>
      <c r="L92" s="708" t="s">
        <v>46</v>
      </c>
    </row>
    <row r="93" spans="1:12" hidden="1">
      <c r="A93" s="689" t="s">
        <v>70</v>
      </c>
      <c r="B93" s="724" t="s">
        <v>71</v>
      </c>
      <c r="C93" s="725" t="s">
        <v>47</v>
      </c>
      <c r="D93" s="725" t="s">
        <v>48</v>
      </c>
      <c r="E93" s="726" t="s">
        <v>22</v>
      </c>
      <c r="F93" s="702" t="s">
        <v>19</v>
      </c>
      <c r="G93" s="828">
        <f>ROUND('r.ocynk gwint'!O41,2)</f>
        <v>0</v>
      </c>
      <c r="H93" s="704" t="s">
        <v>45</v>
      </c>
      <c r="I93" s="705"/>
      <c r="J93" s="706">
        <v>55</v>
      </c>
      <c r="K93" s="709"/>
      <c r="L93" s="708" t="s">
        <v>46</v>
      </c>
    </row>
    <row r="94" spans="1:12" hidden="1">
      <c r="A94" s="689" t="s">
        <v>70</v>
      </c>
      <c r="B94" s="724" t="s">
        <v>71</v>
      </c>
      <c r="C94" s="725" t="s">
        <v>49</v>
      </c>
      <c r="D94" s="725" t="s">
        <v>50</v>
      </c>
      <c r="E94" s="726" t="s">
        <v>24</v>
      </c>
      <c r="F94" s="702" t="s">
        <v>19</v>
      </c>
      <c r="G94" s="828">
        <f>ROUND('r.ocynk gwint'!O42,2)</f>
        <v>0</v>
      </c>
      <c r="H94" s="704" t="s">
        <v>45</v>
      </c>
      <c r="I94" s="705"/>
      <c r="J94" s="706">
        <v>60</v>
      </c>
      <c r="K94" s="709"/>
      <c r="L94" s="708" t="s">
        <v>46</v>
      </c>
    </row>
    <row r="95" spans="1:12" hidden="1">
      <c r="A95" s="689" t="s">
        <v>70</v>
      </c>
      <c r="B95" s="724" t="s">
        <v>71</v>
      </c>
      <c r="C95" s="725" t="s">
        <v>51</v>
      </c>
      <c r="D95" s="725" t="s">
        <v>52</v>
      </c>
      <c r="E95" s="726">
        <v>1</v>
      </c>
      <c r="F95" s="702" t="s">
        <v>19</v>
      </c>
      <c r="G95" s="828">
        <f>ROUND('r.ocynk gwint'!O43,2)</f>
        <v>66.34</v>
      </c>
      <c r="H95" s="704" t="s">
        <v>45</v>
      </c>
      <c r="I95" s="705"/>
      <c r="J95" s="706">
        <v>65</v>
      </c>
      <c r="K95" s="709"/>
      <c r="L95" s="708" t="s">
        <v>46</v>
      </c>
    </row>
    <row r="96" spans="1:12" hidden="1">
      <c r="A96" s="689" t="s">
        <v>70</v>
      </c>
      <c r="B96" s="724" t="s">
        <v>71</v>
      </c>
      <c r="C96" s="725" t="s">
        <v>53</v>
      </c>
      <c r="D96" s="725" t="s">
        <v>54</v>
      </c>
      <c r="E96" s="726">
        <v>1.25</v>
      </c>
      <c r="F96" s="702" t="s">
        <v>19</v>
      </c>
      <c r="G96" s="828">
        <f>ROUND('r.ocynk gwint'!O44,2)</f>
        <v>73.17</v>
      </c>
      <c r="H96" s="704" t="s">
        <v>45</v>
      </c>
      <c r="I96" s="705"/>
      <c r="J96" s="706">
        <v>70</v>
      </c>
      <c r="K96" s="709"/>
      <c r="L96" s="708" t="s">
        <v>46</v>
      </c>
    </row>
    <row r="97" spans="1:12" hidden="1">
      <c r="A97" s="689" t="s">
        <v>70</v>
      </c>
      <c r="B97" s="724" t="s">
        <v>71</v>
      </c>
      <c r="C97" s="725" t="s">
        <v>55</v>
      </c>
      <c r="D97" s="725" t="s">
        <v>56</v>
      </c>
      <c r="E97" s="726">
        <v>1.5</v>
      </c>
      <c r="F97" s="702" t="s">
        <v>19</v>
      </c>
      <c r="G97" s="828">
        <f>ROUND('r.ocynk gwint'!O45,2)</f>
        <v>75</v>
      </c>
      <c r="H97" s="704" t="s">
        <v>45</v>
      </c>
      <c r="I97" s="705"/>
      <c r="J97" s="706">
        <v>75</v>
      </c>
      <c r="K97" s="709"/>
      <c r="L97" s="708" t="s">
        <v>46</v>
      </c>
    </row>
    <row r="98" spans="1:12" hidden="1">
      <c r="A98" s="689" t="s">
        <v>70</v>
      </c>
      <c r="B98" s="724" t="s">
        <v>71</v>
      </c>
      <c r="C98" s="725" t="s">
        <v>57</v>
      </c>
      <c r="D98" s="725" t="s">
        <v>58</v>
      </c>
      <c r="E98" s="726">
        <v>2</v>
      </c>
      <c r="F98" s="702" t="s">
        <v>19</v>
      </c>
      <c r="G98" s="828">
        <f>ROUND('r.ocynk gwint'!O46,2)</f>
        <v>84.07</v>
      </c>
      <c r="H98" s="704" t="s">
        <v>45</v>
      </c>
      <c r="I98" s="705"/>
      <c r="J98" s="706">
        <v>85</v>
      </c>
      <c r="K98" s="709"/>
      <c r="L98" s="708" t="s">
        <v>46</v>
      </c>
    </row>
    <row r="99" spans="1:12" hidden="1">
      <c r="A99" s="689" t="s">
        <v>70</v>
      </c>
      <c r="B99" s="724" t="s">
        <v>71</v>
      </c>
      <c r="C99" s="725" t="s">
        <v>59</v>
      </c>
      <c r="D99" s="844" t="s">
        <v>33</v>
      </c>
      <c r="E99" s="726" t="s">
        <v>34</v>
      </c>
      <c r="F99" s="702" t="s">
        <v>19</v>
      </c>
      <c r="G99" s="828">
        <f>ROUND('r.ocynk gwint'!O47,2)</f>
        <v>229.76</v>
      </c>
      <c r="H99" s="704" t="s">
        <v>45</v>
      </c>
      <c r="I99" s="705"/>
      <c r="J99" s="706">
        <v>95</v>
      </c>
      <c r="K99" s="709"/>
      <c r="L99" s="708" t="s">
        <v>46</v>
      </c>
    </row>
    <row r="100" spans="1:12" hidden="1">
      <c r="A100" s="689" t="s">
        <v>70</v>
      </c>
      <c r="B100" s="724" t="s">
        <v>71</v>
      </c>
      <c r="C100" s="725" t="s">
        <v>60</v>
      </c>
      <c r="D100" s="725" t="s">
        <v>61</v>
      </c>
      <c r="E100" s="726">
        <v>3</v>
      </c>
      <c r="F100" s="702" t="s">
        <v>19</v>
      </c>
      <c r="G100" s="828">
        <f>ROUND('r.ocynk gwint'!O48,2)</f>
        <v>254.11</v>
      </c>
      <c r="H100" s="704" t="s">
        <v>45</v>
      </c>
      <c r="I100" s="705"/>
      <c r="J100" s="706">
        <v>100</v>
      </c>
      <c r="K100" s="709"/>
      <c r="L100" s="708" t="s">
        <v>46</v>
      </c>
    </row>
    <row r="101" spans="1:12" hidden="1">
      <c r="A101" s="689" t="s">
        <v>70</v>
      </c>
      <c r="B101" s="724" t="s">
        <v>71</v>
      </c>
      <c r="C101" s="725" t="s">
        <v>62</v>
      </c>
      <c r="D101" s="844" t="s">
        <v>37</v>
      </c>
      <c r="E101" s="726">
        <v>4</v>
      </c>
      <c r="F101" s="702" t="s">
        <v>19</v>
      </c>
      <c r="G101" s="828">
        <f>ROUND('r.ocynk gwint'!O49,2)</f>
        <v>311.54000000000002</v>
      </c>
      <c r="H101" s="704" t="s">
        <v>45</v>
      </c>
      <c r="I101" s="705"/>
      <c r="J101" s="706">
        <v>110</v>
      </c>
      <c r="K101" s="709"/>
      <c r="L101" s="708" t="s">
        <v>46</v>
      </c>
    </row>
    <row r="102" spans="1:12" hidden="1">
      <c r="A102" s="689" t="s">
        <v>70</v>
      </c>
      <c r="B102" s="724" t="s">
        <v>71</v>
      </c>
      <c r="C102" s="725" t="s">
        <v>63</v>
      </c>
      <c r="D102" s="725" t="s">
        <v>64</v>
      </c>
      <c r="E102" s="726" t="s">
        <v>65</v>
      </c>
      <c r="F102" s="702" t="s">
        <v>19</v>
      </c>
      <c r="G102" s="828">
        <f>ROUND('r.ocynk gwint'!O50,2)</f>
        <v>400</v>
      </c>
      <c r="H102" s="704" t="s">
        <v>45</v>
      </c>
      <c r="I102" s="705"/>
      <c r="J102" s="706">
        <v>140</v>
      </c>
      <c r="K102" s="709"/>
      <c r="L102" s="708" t="s">
        <v>46</v>
      </c>
    </row>
    <row r="103" spans="1:12" hidden="1">
      <c r="A103" s="689" t="s">
        <v>70</v>
      </c>
      <c r="B103" s="724" t="s">
        <v>71</v>
      </c>
      <c r="C103" s="725" t="s">
        <v>66</v>
      </c>
      <c r="D103" s="725" t="s">
        <v>67</v>
      </c>
      <c r="E103" s="726" t="s">
        <v>68</v>
      </c>
      <c r="F103" s="702" t="s">
        <v>19</v>
      </c>
      <c r="G103" s="828">
        <f>ROUND('r.ocynk gwint'!O51,2)</f>
        <v>500.96</v>
      </c>
      <c r="H103" s="704" t="s">
        <v>45</v>
      </c>
      <c r="I103" s="705"/>
      <c r="J103" s="706">
        <v>170</v>
      </c>
      <c r="K103" s="709"/>
      <c r="L103" s="708" t="s">
        <v>46</v>
      </c>
    </row>
    <row r="104" spans="1:12" hidden="1">
      <c r="A104" s="689" t="s">
        <v>70</v>
      </c>
      <c r="B104" s="724" t="s">
        <v>71</v>
      </c>
      <c r="C104" s="725" t="s">
        <v>72</v>
      </c>
      <c r="D104" s="725" t="s">
        <v>73</v>
      </c>
      <c r="E104" s="726" t="s">
        <v>74</v>
      </c>
      <c r="F104" s="702" t="s">
        <v>19</v>
      </c>
      <c r="G104" s="828">
        <f>ROUND('r.ocynk gwint'!O52,2)</f>
        <v>787.89</v>
      </c>
      <c r="H104" s="704" t="s">
        <v>45</v>
      </c>
      <c r="I104" s="705"/>
      <c r="J104" s="706">
        <v>220</v>
      </c>
      <c r="K104" s="709"/>
      <c r="L104" s="708" t="s">
        <v>46</v>
      </c>
    </row>
    <row r="105" spans="1:12" hidden="1">
      <c r="A105" s="689" t="s">
        <v>70</v>
      </c>
      <c r="B105" s="722" t="s">
        <v>71</v>
      </c>
      <c r="C105" s="728"/>
      <c r="D105" s="728"/>
      <c r="E105" s="729"/>
      <c r="F105" s="730"/>
      <c r="G105" s="829"/>
      <c r="H105" s="695" t="s">
        <v>45</v>
      </c>
      <c r="I105" s="691"/>
      <c r="J105" s="716"/>
      <c r="K105" s="709"/>
      <c r="L105" s="708" t="s">
        <v>46</v>
      </c>
    </row>
    <row r="106" spans="1:12" hidden="1">
      <c r="A106" s="689" t="s">
        <v>70</v>
      </c>
      <c r="B106" s="724" t="s">
        <v>71</v>
      </c>
      <c r="C106" s="725" t="s">
        <v>47</v>
      </c>
      <c r="D106" s="725" t="s">
        <v>48</v>
      </c>
      <c r="E106" s="726" t="s">
        <v>22</v>
      </c>
      <c r="F106" s="702" t="s">
        <v>19</v>
      </c>
      <c r="G106" s="828">
        <f>ROUND('r.ocynk gwint'!O60,2)</f>
        <v>0</v>
      </c>
      <c r="H106" s="704" t="s">
        <v>45</v>
      </c>
      <c r="I106" s="237" t="s">
        <v>75</v>
      </c>
      <c r="J106" s="706">
        <f>J93</f>
        <v>55</v>
      </c>
      <c r="K106" s="709"/>
      <c r="L106" s="708" t="s">
        <v>46</v>
      </c>
    </row>
    <row r="107" spans="1:12" hidden="1">
      <c r="A107" s="689" t="s">
        <v>70</v>
      </c>
      <c r="B107" s="724" t="s">
        <v>71</v>
      </c>
      <c r="C107" s="725" t="s">
        <v>49</v>
      </c>
      <c r="D107" s="725" t="s">
        <v>50</v>
      </c>
      <c r="E107" s="726" t="s">
        <v>24</v>
      </c>
      <c r="F107" s="702" t="s">
        <v>19</v>
      </c>
      <c r="G107" s="828">
        <f>ROUND('r.ocynk gwint'!O61,2)</f>
        <v>0</v>
      </c>
      <c r="H107" s="704" t="s">
        <v>45</v>
      </c>
      <c r="I107" s="237" t="s">
        <v>75</v>
      </c>
      <c r="J107" s="706">
        <f t="shared" ref="J107:J116" si="6">J94</f>
        <v>60</v>
      </c>
      <c r="K107" s="709"/>
      <c r="L107" s="708" t="s">
        <v>46</v>
      </c>
    </row>
    <row r="108" spans="1:12" hidden="1">
      <c r="A108" s="689" t="s">
        <v>70</v>
      </c>
      <c r="B108" s="724" t="s">
        <v>71</v>
      </c>
      <c r="C108" s="725" t="s">
        <v>51</v>
      </c>
      <c r="D108" s="725" t="s">
        <v>52</v>
      </c>
      <c r="E108" s="726">
        <v>1</v>
      </c>
      <c r="F108" s="702" t="s">
        <v>19</v>
      </c>
      <c r="G108" s="828">
        <f>ROUND('r.ocynk gwint'!O62,2)</f>
        <v>87.86</v>
      </c>
      <c r="H108" s="704" t="s">
        <v>45</v>
      </c>
      <c r="I108" s="237" t="s">
        <v>75</v>
      </c>
      <c r="J108" s="706">
        <f t="shared" si="6"/>
        <v>65</v>
      </c>
      <c r="K108" s="709"/>
      <c r="L108" s="708" t="s">
        <v>46</v>
      </c>
    </row>
    <row r="109" spans="1:12" hidden="1">
      <c r="A109" s="689" t="s">
        <v>70</v>
      </c>
      <c r="B109" s="724" t="s">
        <v>71</v>
      </c>
      <c r="C109" s="725" t="s">
        <v>53</v>
      </c>
      <c r="D109" s="725" t="s">
        <v>54</v>
      </c>
      <c r="E109" s="726">
        <v>1.25</v>
      </c>
      <c r="F109" s="702" t="s">
        <v>19</v>
      </c>
      <c r="G109" s="828">
        <f>ROUND('r.ocynk gwint'!O63,2)</f>
        <v>102.29</v>
      </c>
      <c r="H109" s="704" t="s">
        <v>45</v>
      </c>
      <c r="I109" s="237" t="s">
        <v>75</v>
      </c>
      <c r="J109" s="706">
        <f t="shared" si="6"/>
        <v>70</v>
      </c>
      <c r="K109" s="709"/>
      <c r="L109" s="708" t="s">
        <v>46</v>
      </c>
    </row>
    <row r="110" spans="1:12" hidden="1">
      <c r="A110" s="689" t="s">
        <v>70</v>
      </c>
      <c r="B110" s="724" t="s">
        <v>71</v>
      </c>
      <c r="C110" s="725" t="s">
        <v>55</v>
      </c>
      <c r="D110" s="725" t="s">
        <v>56</v>
      </c>
      <c r="E110" s="726">
        <v>1.5</v>
      </c>
      <c r="F110" s="702" t="s">
        <v>19</v>
      </c>
      <c r="G110" s="828">
        <f>ROUND('r.ocynk gwint'!O64,2)</f>
        <v>100</v>
      </c>
      <c r="H110" s="704" t="s">
        <v>45</v>
      </c>
      <c r="I110" s="237" t="s">
        <v>75</v>
      </c>
      <c r="J110" s="706">
        <f t="shared" si="6"/>
        <v>75</v>
      </c>
      <c r="K110" s="709"/>
      <c r="L110" s="708" t="s">
        <v>46</v>
      </c>
    </row>
    <row r="111" spans="1:12" hidden="1">
      <c r="A111" s="689" t="s">
        <v>70</v>
      </c>
      <c r="B111" s="724" t="s">
        <v>71</v>
      </c>
      <c r="C111" s="725" t="s">
        <v>57</v>
      </c>
      <c r="D111" s="725" t="s">
        <v>58</v>
      </c>
      <c r="E111" s="726">
        <v>2</v>
      </c>
      <c r="F111" s="702" t="s">
        <v>19</v>
      </c>
      <c r="G111" s="828">
        <f>ROUND('r.ocynk gwint'!O65,2)</f>
        <v>115.72</v>
      </c>
      <c r="H111" s="704" t="s">
        <v>45</v>
      </c>
      <c r="I111" s="237" t="s">
        <v>75</v>
      </c>
      <c r="J111" s="706">
        <f t="shared" si="6"/>
        <v>85</v>
      </c>
      <c r="K111" s="709"/>
      <c r="L111" s="708" t="s">
        <v>46</v>
      </c>
    </row>
    <row r="112" spans="1:12" hidden="1">
      <c r="A112" s="689" t="s">
        <v>70</v>
      </c>
      <c r="B112" s="724" t="s">
        <v>71</v>
      </c>
      <c r="C112" s="725" t="s">
        <v>59</v>
      </c>
      <c r="D112" s="844" t="s">
        <v>33</v>
      </c>
      <c r="E112" s="726" t="s">
        <v>34</v>
      </c>
      <c r="F112" s="702" t="s">
        <v>19</v>
      </c>
      <c r="G112" s="828">
        <f>ROUND('r.ocynk gwint'!O66,2)</f>
        <v>258.88</v>
      </c>
      <c r="H112" s="704" t="s">
        <v>45</v>
      </c>
      <c r="I112" s="237" t="s">
        <v>75</v>
      </c>
      <c r="J112" s="706">
        <f t="shared" si="6"/>
        <v>95</v>
      </c>
      <c r="K112" s="709"/>
      <c r="L112" s="708" t="s">
        <v>46</v>
      </c>
    </row>
    <row r="113" spans="1:12" hidden="1">
      <c r="A113" s="689" t="s">
        <v>70</v>
      </c>
      <c r="B113" s="724" t="s">
        <v>71</v>
      </c>
      <c r="C113" s="725" t="s">
        <v>60</v>
      </c>
      <c r="D113" s="725" t="s">
        <v>61</v>
      </c>
      <c r="E113" s="726">
        <v>3</v>
      </c>
      <c r="F113" s="702" t="s">
        <v>19</v>
      </c>
      <c r="G113" s="828">
        <f>ROUND('r.ocynk gwint'!O67,2)</f>
        <v>292.63</v>
      </c>
      <c r="H113" s="704" t="s">
        <v>45</v>
      </c>
      <c r="I113" s="237" t="s">
        <v>75</v>
      </c>
      <c r="J113" s="706">
        <f t="shared" si="6"/>
        <v>100</v>
      </c>
      <c r="K113" s="709"/>
      <c r="L113" s="708" t="s">
        <v>46</v>
      </c>
    </row>
    <row r="114" spans="1:12" hidden="1">
      <c r="A114" s="689" t="s">
        <v>70</v>
      </c>
      <c r="B114" s="724" t="s">
        <v>71</v>
      </c>
      <c r="C114" s="725" t="s">
        <v>62</v>
      </c>
      <c r="D114" s="844" t="s">
        <v>37</v>
      </c>
      <c r="E114" s="726">
        <v>4</v>
      </c>
      <c r="F114" s="702" t="s">
        <v>19</v>
      </c>
      <c r="G114" s="828">
        <f>ROUND('r.ocynk gwint'!O68,2)</f>
        <v>372.43</v>
      </c>
      <c r="H114" s="704" t="s">
        <v>45</v>
      </c>
      <c r="I114" s="237" t="s">
        <v>75</v>
      </c>
      <c r="J114" s="706">
        <f t="shared" si="6"/>
        <v>110</v>
      </c>
      <c r="K114" s="709"/>
      <c r="L114" s="708" t="s">
        <v>46</v>
      </c>
    </row>
    <row r="115" spans="1:12" hidden="1">
      <c r="A115" s="689" t="s">
        <v>70</v>
      </c>
      <c r="B115" s="724" t="s">
        <v>71</v>
      </c>
      <c r="C115" s="725" t="s">
        <v>63</v>
      </c>
      <c r="D115" s="725" t="s">
        <v>64</v>
      </c>
      <c r="E115" s="726" t="s">
        <v>65</v>
      </c>
      <c r="F115" s="702" t="s">
        <v>19</v>
      </c>
      <c r="G115" s="828">
        <f>ROUND('r.ocynk gwint'!O69,2)</f>
        <v>550</v>
      </c>
      <c r="H115" s="704" t="s">
        <v>45</v>
      </c>
      <c r="I115" s="237" t="s">
        <v>75</v>
      </c>
      <c r="J115" s="706">
        <f t="shared" si="6"/>
        <v>140</v>
      </c>
      <c r="K115" s="709"/>
      <c r="L115" s="708" t="s">
        <v>46</v>
      </c>
    </row>
    <row r="116" spans="1:12" hidden="1">
      <c r="A116" s="689" t="s">
        <v>70</v>
      </c>
      <c r="B116" s="724" t="s">
        <v>71</v>
      </c>
      <c r="C116" s="725" t="s">
        <v>66</v>
      </c>
      <c r="D116" s="725" t="s">
        <v>67</v>
      </c>
      <c r="E116" s="726" t="s">
        <v>68</v>
      </c>
      <c r="F116" s="702" t="s">
        <v>19</v>
      </c>
      <c r="G116" s="828">
        <f>ROUND('r.ocynk gwint'!O70,2)</f>
        <v>615.29</v>
      </c>
      <c r="H116" s="704" t="s">
        <v>45</v>
      </c>
      <c r="I116" s="237" t="s">
        <v>75</v>
      </c>
      <c r="J116" s="706">
        <f t="shared" si="6"/>
        <v>170</v>
      </c>
      <c r="K116" s="709"/>
      <c r="L116" s="708" t="s">
        <v>46</v>
      </c>
    </row>
    <row r="117" spans="1:12" ht="20.25" hidden="1">
      <c r="A117" s="731" t="s">
        <v>76</v>
      </c>
      <c r="B117" s="722" t="s">
        <v>77</v>
      </c>
      <c r="C117" s="728"/>
      <c r="D117" s="728"/>
      <c r="E117" s="729"/>
      <c r="F117" s="730"/>
      <c r="G117" s="723"/>
      <c r="H117" s="695" t="s">
        <v>14</v>
      </c>
      <c r="I117" s="691"/>
      <c r="J117" s="716"/>
      <c r="K117" s="709"/>
      <c r="L117" s="708" t="s">
        <v>46</v>
      </c>
    </row>
    <row r="118" spans="1:12" ht="20.25" hidden="1">
      <c r="A118" s="731" t="s">
        <v>76</v>
      </c>
      <c r="B118" s="724" t="s">
        <v>77</v>
      </c>
      <c r="C118" s="725" t="s">
        <v>78</v>
      </c>
      <c r="D118" s="725" t="s">
        <v>79</v>
      </c>
      <c r="E118" s="726" t="s">
        <v>18</v>
      </c>
      <c r="F118" s="702" t="s">
        <v>19</v>
      </c>
      <c r="G118" s="828">
        <f>ROUND('r.nierdz zacisk'!O19,2)</f>
        <v>68.489999999999995</v>
      </c>
      <c r="H118" s="704" t="s">
        <v>14</v>
      </c>
      <c r="I118" s="705"/>
      <c r="J118" s="706">
        <v>41</v>
      </c>
      <c r="K118" s="709"/>
      <c r="L118" s="708" t="s">
        <v>46</v>
      </c>
    </row>
    <row r="119" spans="1:12" ht="20.25" hidden="1">
      <c r="A119" s="731" t="s">
        <v>76</v>
      </c>
      <c r="B119" s="724" t="s">
        <v>77</v>
      </c>
      <c r="C119" s="725" t="s">
        <v>47</v>
      </c>
      <c r="D119" s="725" t="s">
        <v>80</v>
      </c>
      <c r="E119" s="726" t="s">
        <v>22</v>
      </c>
      <c r="F119" s="702" t="s">
        <v>19</v>
      </c>
      <c r="G119" s="828">
        <f>ROUND('r.nierdz zacisk'!O20,2)</f>
        <v>75.569999999999993</v>
      </c>
      <c r="H119" s="704" t="s">
        <v>14</v>
      </c>
      <c r="I119" s="705"/>
      <c r="J119" s="706">
        <v>46</v>
      </c>
      <c r="K119" s="709"/>
      <c r="L119" s="708" t="s">
        <v>46</v>
      </c>
    </row>
    <row r="120" spans="1:12" ht="20.25" hidden="1">
      <c r="A120" s="731" t="s">
        <v>76</v>
      </c>
      <c r="B120" s="724" t="s">
        <v>77</v>
      </c>
      <c r="C120" s="725" t="s">
        <v>49</v>
      </c>
      <c r="D120" s="725" t="s">
        <v>81</v>
      </c>
      <c r="E120" s="726" t="s">
        <v>24</v>
      </c>
      <c r="F120" s="702" t="s">
        <v>19</v>
      </c>
      <c r="G120" s="828">
        <f>ROUND('r.nierdz zacisk'!O21,2)</f>
        <v>93.1</v>
      </c>
      <c r="H120" s="704" t="s">
        <v>14</v>
      </c>
      <c r="I120" s="705"/>
      <c r="J120" s="706">
        <v>52</v>
      </c>
      <c r="K120" s="709"/>
      <c r="L120" s="708" t="s">
        <v>46</v>
      </c>
    </row>
    <row r="121" spans="1:12" ht="20.25" hidden="1">
      <c r="A121" s="731" t="s">
        <v>76</v>
      </c>
      <c r="B121" s="724" t="s">
        <v>77</v>
      </c>
      <c r="C121" s="725" t="s">
        <v>51</v>
      </c>
      <c r="D121" s="725" t="s">
        <v>82</v>
      </c>
      <c r="E121" s="726">
        <v>1</v>
      </c>
      <c r="F121" s="702" t="s">
        <v>19</v>
      </c>
      <c r="G121" s="828">
        <f>ROUND('r.nierdz zacisk'!O22,2)</f>
        <v>111.59</v>
      </c>
      <c r="H121" s="704" t="s">
        <v>14</v>
      </c>
      <c r="I121" s="705"/>
      <c r="J121" s="706">
        <v>65</v>
      </c>
      <c r="K121" s="709"/>
      <c r="L121" s="708" t="s">
        <v>46</v>
      </c>
    </row>
    <row r="122" spans="1:12" ht="20.25" hidden="1">
      <c r="A122" s="731" t="s">
        <v>76</v>
      </c>
      <c r="B122" s="724" t="s">
        <v>77</v>
      </c>
      <c r="C122" s="725" t="s">
        <v>53</v>
      </c>
      <c r="D122" s="725" t="s">
        <v>83</v>
      </c>
      <c r="E122" s="726">
        <v>1.25</v>
      </c>
      <c r="F122" s="702" t="s">
        <v>19</v>
      </c>
      <c r="G122" s="828">
        <f>ROUND('r.nierdz zacisk'!O23,2)</f>
        <v>153.4</v>
      </c>
      <c r="H122" s="704" t="s">
        <v>14</v>
      </c>
      <c r="I122" s="705"/>
      <c r="J122" s="706">
        <v>72</v>
      </c>
      <c r="K122" s="709"/>
      <c r="L122" s="708" t="s">
        <v>46</v>
      </c>
    </row>
    <row r="123" spans="1:12" ht="20.25" hidden="1">
      <c r="A123" s="731" t="s">
        <v>76</v>
      </c>
      <c r="B123" s="724" t="s">
        <v>77</v>
      </c>
      <c r="C123" s="725" t="s">
        <v>55</v>
      </c>
      <c r="D123" s="725" t="s">
        <v>84</v>
      </c>
      <c r="E123" s="726">
        <v>1.5</v>
      </c>
      <c r="F123" s="702" t="s">
        <v>19</v>
      </c>
      <c r="G123" s="828">
        <f>ROUND('r.nierdz zacisk'!O24,2)</f>
        <v>204.68</v>
      </c>
      <c r="H123" s="704" t="s">
        <v>14</v>
      </c>
      <c r="I123" s="705"/>
      <c r="J123" s="706">
        <v>80</v>
      </c>
      <c r="K123" s="709"/>
      <c r="L123" s="708" t="s">
        <v>46</v>
      </c>
    </row>
    <row r="124" spans="1:12" ht="20.25" hidden="1">
      <c r="A124" s="731" t="s">
        <v>76</v>
      </c>
      <c r="B124" s="724" t="s">
        <v>77</v>
      </c>
      <c r="C124" s="725" t="s">
        <v>57</v>
      </c>
      <c r="D124" s="846" t="s">
        <v>31</v>
      </c>
      <c r="E124" s="726">
        <v>2</v>
      </c>
      <c r="F124" s="702" t="s">
        <v>19</v>
      </c>
      <c r="G124" s="828">
        <f>ROUND('r.nierdz zacisk'!O25,2)</f>
        <v>238.95</v>
      </c>
      <c r="H124" s="704" t="s">
        <v>14</v>
      </c>
      <c r="I124" s="705"/>
      <c r="J124" s="706">
        <v>82</v>
      </c>
      <c r="K124" s="709"/>
      <c r="L124" s="708" t="s">
        <v>46</v>
      </c>
    </row>
    <row r="125" spans="1:12" ht="20.25" hidden="1">
      <c r="A125" s="731" t="s">
        <v>76</v>
      </c>
      <c r="B125" s="724" t="s">
        <v>77</v>
      </c>
      <c r="C125" s="725" t="s">
        <v>59</v>
      </c>
      <c r="D125" s="844" t="s">
        <v>33</v>
      </c>
      <c r="E125" s="726" t="s">
        <v>34</v>
      </c>
      <c r="F125" s="702" t="s">
        <v>19</v>
      </c>
      <c r="G125" s="828">
        <f>ROUND('r.nierdz zacisk'!O26,2)</f>
        <v>573.42999999999995</v>
      </c>
      <c r="H125" s="704" t="s">
        <v>14</v>
      </c>
      <c r="I125" s="705"/>
      <c r="J125" s="706">
        <v>93</v>
      </c>
      <c r="K125" s="709"/>
      <c r="L125" s="708" t="s">
        <v>46</v>
      </c>
    </row>
    <row r="126" spans="1:12" ht="20.25" hidden="1">
      <c r="A126" s="731" t="s">
        <v>76</v>
      </c>
      <c r="B126" s="724" t="s">
        <v>77</v>
      </c>
      <c r="C126" s="725" t="s">
        <v>60</v>
      </c>
      <c r="D126" s="725" t="s">
        <v>61</v>
      </c>
      <c r="E126" s="726">
        <v>3</v>
      </c>
      <c r="F126" s="702" t="s">
        <v>19</v>
      </c>
      <c r="G126" s="828">
        <f>ROUND('r.nierdz zacisk'!O27,2)</f>
        <v>650.01</v>
      </c>
      <c r="H126" s="704" t="s">
        <v>14</v>
      </c>
      <c r="I126" s="705"/>
      <c r="J126" s="706">
        <v>105</v>
      </c>
      <c r="K126" s="709"/>
      <c r="L126" s="708" t="s">
        <v>46</v>
      </c>
    </row>
    <row r="127" spans="1:12" ht="20.25" hidden="1">
      <c r="A127" s="731" t="s">
        <v>76</v>
      </c>
      <c r="B127" s="724" t="s">
        <v>77</v>
      </c>
      <c r="C127" s="725" t="s">
        <v>62</v>
      </c>
      <c r="D127" s="844" t="s">
        <v>37</v>
      </c>
      <c r="E127" s="726">
        <v>4</v>
      </c>
      <c r="F127" s="702" t="s">
        <v>19</v>
      </c>
      <c r="G127" s="828">
        <f>ROUND('r.nierdz zacisk'!O28,2)</f>
        <v>811.61</v>
      </c>
      <c r="H127" s="704" t="s">
        <v>14</v>
      </c>
      <c r="I127" s="705"/>
      <c r="J127" s="706">
        <v>120</v>
      </c>
      <c r="K127" s="709"/>
      <c r="L127" s="708" t="s">
        <v>46</v>
      </c>
    </row>
    <row r="128" spans="1:12" ht="20.25" hidden="1">
      <c r="A128" s="731" t="s">
        <v>76</v>
      </c>
      <c r="B128" s="724" t="s">
        <v>77</v>
      </c>
      <c r="C128" s="725" t="s">
        <v>63</v>
      </c>
      <c r="D128" s="725" t="s">
        <v>64</v>
      </c>
      <c r="E128" s="726">
        <v>5</v>
      </c>
      <c r="F128" s="702" t="s">
        <v>19</v>
      </c>
      <c r="G128" s="828">
        <f>ROUND('r.nierdz zacisk'!O29,2)</f>
        <v>1630.51</v>
      </c>
      <c r="H128" s="704" t="s">
        <v>14</v>
      </c>
      <c r="I128" s="705"/>
      <c r="J128" s="706">
        <v>150</v>
      </c>
      <c r="K128" s="709"/>
      <c r="L128" s="708" t="s">
        <v>46</v>
      </c>
    </row>
    <row r="129" spans="1:12" ht="20.25" hidden="1">
      <c r="A129" s="731" t="s">
        <v>76</v>
      </c>
      <c r="B129" s="724" t="s">
        <v>77</v>
      </c>
      <c r="C129" s="725" t="s">
        <v>66</v>
      </c>
      <c r="D129" s="725" t="s">
        <v>85</v>
      </c>
      <c r="E129" s="726">
        <v>6</v>
      </c>
      <c r="F129" s="702" t="s">
        <v>19</v>
      </c>
      <c r="G129" s="828">
        <f>ROUND('r.nierdz zacisk'!O30,2)</f>
        <v>2059.9299999999998</v>
      </c>
      <c r="H129" s="704" t="s">
        <v>14</v>
      </c>
      <c r="I129" s="705"/>
      <c r="J129" s="706">
        <v>180</v>
      </c>
      <c r="K129" s="709"/>
      <c r="L129" s="708" t="s">
        <v>46</v>
      </c>
    </row>
    <row r="130" spans="1:12" ht="20.25" hidden="1">
      <c r="A130" s="731" t="s">
        <v>76</v>
      </c>
      <c r="B130" s="722" t="s">
        <v>77</v>
      </c>
      <c r="C130" s="728"/>
      <c r="D130" s="728"/>
      <c r="E130" s="729"/>
      <c r="F130" s="730"/>
      <c r="G130" s="829"/>
      <c r="H130" s="695" t="s">
        <v>14</v>
      </c>
      <c r="I130" s="691"/>
      <c r="J130" s="716"/>
      <c r="K130" s="709"/>
      <c r="L130" s="708" t="s">
        <v>46</v>
      </c>
    </row>
    <row r="131" spans="1:12" ht="20.25" hidden="1">
      <c r="A131" s="731" t="s">
        <v>76</v>
      </c>
      <c r="B131" s="724" t="s">
        <v>77</v>
      </c>
      <c r="C131" s="725" t="s">
        <v>78</v>
      </c>
      <c r="D131" s="725" t="s">
        <v>79</v>
      </c>
      <c r="E131" s="726" t="s">
        <v>18</v>
      </c>
      <c r="F131" s="702" t="s">
        <v>19</v>
      </c>
      <c r="G131" s="828">
        <f>ROUND('r.nierdz zacisk'!O19,2)</f>
        <v>68.489999999999995</v>
      </c>
      <c r="H131" s="704" t="s">
        <v>14</v>
      </c>
      <c r="I131" s="705" t="s">
        <v>86</v>
      </c>
      <c r="J131" s="706">
        <f>J118</f>
        <v>41</v>
      </c>
      <c r="K131" s="709"/>
      <c r="L131" s="708" t="s">
        <v>46</v>
      </c>
    </row>
    <row r="132" spans="1:12" ht="20.25" hidden="1">
      <c r="A132" s="731" t="s">
        <v>76</v>
      </c>
      <c r="B132" s="724" t="s">
        <v>77</v>
      </c>
      <c r="C132" s="725" t="s">
        <v>47</v>
      </c>
      <c r="D132" s="725" t="s">
        <v>80</v>
      </c>
      <c r="E132" s="726" t="s">
        <v>22</v>
      </c>
      <c r="F132" s="702" t="s">
        <v>19</v>
      </c>
      <c r="G132" s="828">
        <f>ROUND('r.nierdz zacisk'!O20,2)</f>
        <v>75.569999999999993</v>
      </c>
      <c r="H132" s="704" t="s">
        <v>14</v>
      </c>
      <c r="I132" s="705" t="s">
        <v>86</v>
      </c>
      <c r="J132" s="706">
        <f t="shared" ref="J132:J142" si="7">J119</f>
        <v>46</v>
      </c>
      <c r="K132" s="709"/>
      <c r="L132" s="708" t="s">
        <v>46</v>
      </c>
    </row>
    <row r="133" spans="1:12" ht="20.25" hidden="1">
      <c r="A133" s="731" t="s">
        <v>76</v>
      </c>
      <c r="B133" s="724" t="s">
        <v>77</v>
      </c>
      <c r="C133" s="725" t="s">
        <v>49</v>
      </c>
      <c r="D133" s="725" t="s">
        <v>81</v>
      </c>
      <c r="E133" s="726" t="s">
        <v>24</v>
      </c>
      <c r="F133" s="702" t="s">
        <v>19</v>
      </c>
      <c r="G133" s="828">
        <f>ROUND('r.nierdz zacisk'!O21,2)</f>
        <v>93.1</v>
      </c>
      <c r="H133" s="704" t="s">
        <v>14</v>
      </c>
      <c r="I133" s="705" t="s">
        <v>86</v>
      </c>
      <c r="J133" s="706">
        <f t="shared" si="7"/>
        <v>52</v>
      </c>
      <c r="K133" s="709"/>
      <c r="L133" s="708" t="s">
        <v>46</v>
      </c>
    </row>
    <row r="134" spans="1:12" ht="20.25" hidden="1">
      <c r="A134" s="731" t="s">
        <v>76</v>
      </c>
      <c r="B134" s="724" t="s">
        <v>77</v>
      </c>
      <c r="C134" s="725" t="s">
        <v>51</v>
      </c>
      <c r="D134" s="725" t="s">
        <v>82</v>
      </c>
      <c r="E134" s="726">
        <v>1</v>
      </c>
      <c r="F134" s="702" t="s">
        <v>19</v>
      </c>
      <c r="G134" s="828">
        <f>ROUND('r.nierdz zacisk'!O22,2)</f>
        <v>111.59</v>
      </c>
      <c r="H134" s="704" t="s">
        <v>14</v>
      </c>
      <c r="I134" s="705" t="s">
        <v>86</v>
      </c>
      <c r="J134" s="706">
        <f t="shared" si="7"/>
        <v>65</v>
      </c>
      <c r="K134" s="709"/>
      <c r="L134" s="708" t="s">
        <v>46</v>
      </c>
    </row>
    <row r="135" spans="1:12" ht="20.25" hidden="1">
      <c r="A135" s="731" t="s">
        <v>76</v>
      </c>
      <c r="B135" s="724" t="s">
        <v>77</v>
      </c>
      <c r="C135" s="725" t="s">
        <v>53</v>
      </c>
      <c r="D135" s="725" t="s">
        <v>83</v>
      </c>
      <c r="E135" s="726">
        <v>1.25</v>
      </c>
      <c r="F135" s="702" t="s">
        <v>19</v>
      </c>
      <c r="G135" s="828">
        <f>ROUND('r.nierdz zacisk'!O23,2)</f>
        <v>153.4</v>
      </c>
      <c r="H135" s="704" t="s">
        <v>14</v>
      </c>
      <c r="I135" s="705" t="s">
        <v>86</v>
      </c>
      <c r="J135" s="706">
        <f t="shared" si="7"/>
        <v>72</v>
      </c>
      <c r="K135" s="709"/>
      <c r="L135" s="708" t="s">
        <v>46</v>
      </c>
    </row>
    <row r="136" spans="1:12" ht="20.25" hidden="1">
      <c r="A136" s="731" t="s">
        <v>76</v>
      </c>
      <c r="B136" s="724" t="s">
        <v>77</v>
      </c>
      <c r="C136" s="725" t="s">
        <v>55</v>
      </c>
      <c r="D136" s="725" t="s">
        <v>84</v>
      </c>
      <c r="E136" s="726">
        <v>1.5</v>
      </c>
      <c r="F136" s="702" t="s">
        <v>19</v>
      </c>
      <c r="G136" s="828">
        <f>ROUND('r.nierdz zacisk'!O24,2)</f>
        <v>204.68</v>
      </c>
      <c r="H136" s="704" t="s">
        <v>14</v>
      </c>
      <c r="I136" s="705" t="s">
        <v>86</v>
      </c>
      <c r="J136" s="706">
        <f t="shared" si="7"/>
        <v>80</v>
      </c>
      <c r="K136" s="709"/>
      <c r="L136" s="708" t="s">
        <v>46</v>
      </c>
    </row>
    <row r="137" spans="1:12" ht="20.25" hidden="1">
      <c r="A137" s="731" t="s">
        <v>76</v>
      </c>
      <c r="B137" s="724" t="s">
        <v>77</v>
      </c>
      <c r="C137" s="725" t="s">
        <v>57</v>
      </c>
      <c r="D137" s="846" t="s">
        <v>31</v>
      </c>
      <c r="E137" s="726">
        <v>2</v>
      </c>
      <c r="F137" s="702" t="s">
        <v>19</v>
      </c>
      <c r="G137" s="828">
        <f>ROUND('r.nierdz zacisk'!O25,2)</f>
        <v>238.95</v>
      </c>
      <c r="H137" s="704" t="s">
        <v>14</v>
      </c>
      <c r="I137" s="705" t="s">
        <v>86</v>
      </c>
      <c r="J137" s="706">
        <f t="shared" si="7"/>
        <v>82</v>
      </c>
      <c r="K137" s="709"/>
      <c r="L137" s="708" t="s">
        <v>46</v>
      </c>
    </row>
    <row r="138" spans="1:12" ht="20.25" hidden="1">
      <c r="A138" s="731" t="s">
        <v>76</v>
      </c>
      <c r="B138" s="724" t="s">
        <v>77</v>
      </c>
      <c r="C138" s="725" t="s">
        <v>59</v>
      </c>
      <c r="D138" s="844" t="s">
        <v>33</v>
      </c>
      <c r="E138" s="726" t="s">
        <v>34</v>
      </c>
      <c r="F138" s="702" t="s">
        <v>19</v>
      </c>
      <c r="G138" s="828">
        <f>ROUND('r.nierdz zacisk'!O26,2)</f>
        <v>573.42999999999995</v>
      </c>
      <c r="H138" s="704" t="s">
        <v>14</v>
      </c>
      <c r="I138" s="705" t="s">
        <v>86</v>
      </c>
      <c r="J138" s="706">
        <f t="shared" si="7"/>
        <v>93</v>
      </c>
      <c r="K138" s="709"/>
      <c r="L138" s="708" t="s">
        <v>46</v>
      </c>
    </row>
    <row r="139" spans="1:12" ht="20.25" hidden="1">
      <c r="A139" s="731" t="s">
        <v>76</v>
      </c>
      <c r="B139" s="724" t="s">
        <v>77</v>
      </c>
      <c r="C139" s="725" t="s">
        <v>60</v>
      </c>
      <c r="D139" s="725" t="s">
        <v>61</v>
      </c>
      <c r="E139" s="726">
        <v>3</v>
      </c>
      <c r="F139" s="702" t="s">
        <v>19</v>
      </c>
      <c r="G139" s="828">
        <f>ROUND('r.nierdz zacisk'!O27,2)</f>
        <v>650.01</v>
      </c>
      <c r="H139" s="704" t="s">
        <v>14</v>
      </c>
      <c r="I139" s="705" t="s">
        <v>86</v>
      </c>
      <c r="J139" s="706">
        <f t="shared" si="7"/>
        <v>105</v>
      </c>
      <c r="K139" s="709"/>
      <c r="L139" s="708" t="s">
        <v>46</v>
      </c>
    </row>
    <row r="140" spans="1:12" ht="20.25" hidden="1">
      <c r="A140" s="731" t="s">
        <v>76</v>
      </c>
      <c r="B140" s="724" t="s">
        <v>77</v>
      </c>
      <c r="C140" s="725" t="s">
        <v>62</v>
      </c>
      <c r="D140" s="844" t="s">
        <v>37</v>
      </c>
      <c r="E140" s="726">
        <v>4</v>
      </c>
      <c r="F140" s="702" t="s">
        <v>19</v>
      </c>
      <c r="G140" s="828">
        <f>ROUND('r.nierdz zacisk'!O28,2)</f>
        <v>811.61</v>
      </c>
      <c r="H140" s="704" t="s">
        <v>14</v>
      </c>
      <c r="I140" s="705" t="s">
        <v>86</v>
      </c>
      <c r="J140" s="706">
        <f t="shared" si="7"/>
        <v>120</v>
      </c>
      <c r="K140" s="709"/>
      <c r="L140" s="708" t="s">
        <v>46</v>
      </c>
    </row>
    <row r="141" spans="1:12" ht="20.25" hidden="1">
      <c r="A141" s="731" t="s">
        <v>76</v>
      </c>
      <c r="B141" s="724" t="s">
        <v>77</v>
      </c>
      <c r="C141" s="725" t="s">
        <v>63</v>
      </c>
      <c r="D141" s="725" t="s">
        <v>64</v>
      </c>
      <c r="E141" s="726">
        <v>5</v>
      </c>
      <c r="F141" s="702" t="s">
        <v>19</v>
      </c>
      <c r="G141" s="828">
        <f>ROUND('r.nierdz zacisk'!O29,2)</f>
        <v>1630.51</v>
      </c>
      <c r="H141" s="704" t="s">
        <v>14</v>
      </c>
      <c r="I141" s="705" t="s">
        <v>86</v>
      </c>
      <c r="J141" s="706">
        <f t="shared" si="7"/>
        <v>150</v>
      </c>
      <c r="K141" s="709"/>
      <c r="L141" s="708" t="s">
        <v>46</v>
      </c>
    </row>
    <row r="142" spans="1:12" ht="20.25" hidden="1">
      <c r="A142" s="731" t="s">
        <v>76</v>
      </c>
      <c r="B142" s="724" t="s">
        <v>77</v>
      </c>
      <c r="C142" s="725" t="s">
        <v>66</v>
      </c>
      <c r="D142" s="725" t="s">
        <v>85</v>
      </c>
      <c r="E142" s="726">
        <v>6</v>
      </c>
      <c r="F142" s="702" t="s">
        <v>19</v>
      </c>
      <c r="G142" s="828">
        <f>ROUND('r.nierdz zacisk'!O30,2)</f>
        <v>2059.9299999999998</v>
      </c>
      <c r="H142" s="704" t="s">
        <v>14</v>
      </c>
      <c r="I142" s="705" t="s">
        <v>86</v>
      </c>
      <c r="J142" s="706">
        <f t="shared" si="7"/>
        <v>180</v>
      </c>
      <c r="K142" s="709"/>
      <c r="L142" s="708" t="s">
        <v>46</v>
      </c>
    </row>
    <row r="143" spans="1:12" ht="20.25" hidden="1">
      <c r="A143" s="731" t="s">
        <v>76</v>
      </c>
      <c r="B143" s="722" t="s">
        <v>77</v>
      </c>
      <c r="C143" s="728"/>
      <c r="D143" s="728"/>
      <c r="E143" s="729"/>
      <c r="F143" s="730"/>
      <c r="G143" s="829"/>
      <c r="H143" s="695" t="s">
        <v>14</v>
      </c>
      <c r="I143" s="691"/>
      <c r="J143" s="716"/>
      <c r="K143" s="709"/>
      <c r="L143" s="708" t="s">
        <v>46</v>
      </c>
    </row>
    <row r="144" spans="1:12" ht="20.25" hidden="1">
      <c r="A144" s="731" t="s">
        <v>76</v>
      </c>
      <c r="B144" s="724" t="s">
        <v>77</v>
      </c>
      <c r="C144" s="725" t="s">
        <v>49</v>
      </c>
      <c r="D144" s="725" t="s">
        <v>81</v>
      </c>
      <c r="E144" s="726" t="s">
        <v>24</v>
      </c>
      <c r="F144" s="702" t="s">
        <v>19</v>
      </c>
      <c r="G144" s="828">
        <f>ROUND('r.nierdz zacisk'!O36,2)</f>
        <v>98.07</v>
      </c>
      <c r="H144" s="704" t="s">
        <v>14</v>
      </c>
      <c r="I144" s="705" t="s">
        <v>87</v>
      </c>
      <c r="J144" s="706">
        <f>J133</f>
        <v>52</v>
      </c>
      <c r="K144" s="709"/>
      <c r="L144" s="708" t="s">
        <v>46</v>
      </c>
    </row>
    <row r="145" spans="1:12" ht="20.25" hidden="1">
      <c r="A145" s="731" t="s">
        <v>76</v>
      </c>
      <c r="B145" s="724" t="s">
        <v>77</v>
      </c>
      <c r="C145" s="725" t="s">
        <v>51</v>
      </c>
      <c r="D145" s="725" t="s">
        <v>82</v>
      </c>
      <c r="E145" s="726">
        <v>1</v>
      </c>
      <c r="F145" s="702" t="s">
        <v>19</v>
      </c>
      <c r="G145" s="828">
        <f>ROUND('r.nierdz zacisk'!O37,2)</f>
        <v>115.41</v>
      </c>
      <c r="H145" s="704" t="s">
        <v>14</v>
      </c>
      <c r="I145" s="705" t="s">
        <v>87</v>
      </c>
      <c r="J145" s="706">
        <f t="shared" ref="J145:J151" si="8">J134</f>
        <v>65</v>
      </c>
      <c r="K145" s="709"/>
      <c r="L145" s="708" t="s">
        <v>46</v>
      </c>
    </row>
    <row r="146" spans="1:12" ht="20.25" hidden="1">
      <c r="A146" s="731" t="s">
        <v>76</v>
      </c>
      <c r="B146" s="724" t="s">
        <v>77</v>
      </c>
      <c r="C146" s="725" t="s">
        <v>53</v>
      </c>
      <c r="D146" s="725" t="s">
        <v>83</v>
      </c>
      <c r="E146" s="726">
        <v>1.25</v>
      </c>
      <c r="F146" s="702" t="s">
        <v>19</v>
      </c>
      <c r="G146" s="828">
        <f>ROUND('r.nierdz zacisk'!O38,2)</f>
        <v>161.21</v>
      </c>
      <c r="H146" s="704" t="s">
        <v>14</v>
      </c>
      <c r="I146" s="705" t="s">
        <v>87</v>
      </c>
      <c r="J146" s="706">
        <f t="shared" si="8"/>
        <v>72</v>
      </c>
      <c r="K146" s="709"/>
      <c r="L146" s="708" t="s">
        <v>46</v>
      </c>
    </row>
    <row r="147" spans="1:12" ht="20.25" hidden="1">
      <c r="A147" s="731" t="s">
        <v>76</v>
      </c>
      <c r="B147" s="724" t="s">
        <v>77</v>
      </c>
      <c r="C147" s="725" t="s">
        <v>55</v>
      </c>
      <c r="D147" s="725" t="s">
        <v>84</v>
      </c>
      <c r="E147" s="726">
        <v>1.5</v>
      </c>
      <c r="F147" s="702" t="s">
        <v>19</v>
      </c>
      <c r="G147" s="828">
        <f>ROUND('r.nierdz zacisk'!O39,2)</f>
        <v>214.89</v>
      </c>
      <c r="H147" s="704" t="s">
        <v>14</v>
      </c>
      <c r="I147" s="705" t="s">
        <v>87</v>
      </c>
      <c r="J147" s="706">
        <f t="shared" si="8"/>
        <v>80</v>
      </c>
      <c r="K147" s="709"/>
      <c r="L147" s="708" t="s">
        <v>46</v>
      </c>
    </row>
    <row r="148" spans="1:12" ht="20.25" hidden="1">
      <c r="A148" s="731" t="s">
        <v>76</v>
      </c>
      <c r="B148" s="724" t="s">
        <v>77</v>
      </c>
      <c r="C148" s="725" t="s">
        <v>57</v>
      </c>
      <c r="D148" s="846" t="s">
        <v>31</v>
      </c>
      <c r="E148" s="726">
        <v>2</v>
      </c>
      <c r="F148" s="702" t="s">
        <v>19</v>
      </c>
      <c r="G148" s="828">
        <f>ROUND('r.nierdz zacisk'!O40,2)</f>
        <v>246.64</v>
      </c>
      <c r="H148" s="704" t="s">
        <v>14</v>
      </c>
      <c r="I148" s="705" t="s">
        <v>87</v>
      </c>
      <c r="J148" s="706">
        <f t="shared" si="8"/>
        <v>82</v>
      </c>
      <c r="K148" s="709"/>
      <c r="L148" s="708" t="s">
        <v>46</v>
      </c>
    </row>
    <row r="149" spans="1:12" ht="20.25" hidden="1">
      <c r="A149" s="731" t="s">
        <v>76</v>
      </c>
      <c r="B149" s="724" t="s">
        <v>77</v>
      </c>
      <c r="C149" s="725" t="s">
        <v>59</v>
      </c>
      <c r="D149" s="844" t="s">
        <v>33</v>
      </c>
      <c r="E149" s="726" t="s">
        <v>34</v>
      </c>
      <c r="F149" s="702" t="s">
        <v>19</v>
      </c>
      <c r="G149" s="828">
        <f>ROUND('r.nierdz zacisk'!O41,2)</f>
        <v>644.22</v>
      </c>
      <c r="H149" s="704" t="s">
        <v>14</v>
      </c>
      <c r="I149" s="705" t="s">
        <v>87</v>
      </c>
      <c r="J149" s="706">
        <f t="shared" si="8"/>
        <v>93</v>
      </c>
      <c r="K149" s="709"/>
      <c r="L149" s="708" t="s">
        <v>46</v>
      </c>
    </row>
    <row r="150" spans="1:12" ht="20.25" hidden="1">
      <c r="A150" s="731" t="s">
        <v>76</v>
      </c>
      <c r="B150" s="724" t="s">
        <v>77</v>
      </c>
      <c r="C150" s="725" t="s">
        <v>60</v>
      </c>
      <c r="D150" s="725" t="s">
        <v>61</v>
      </c>
      <c r="E150" s="726">
        <v>3</v>
      </c>
      <c r="F150" s="702" t="s">
        <v>19</v>
      </c>
      <c r="G150" s="828">
        <f>ROUND('r.nierdz zacisk'!O42,2)</f>
        <v>728.5</v>
      </c>
      <c r="H150" s="704" t="s">
        <v>14</v>
      </c>
      <c r="I150" s="705" t="s">
        <v>87</v>
      </c>
      <c r="J150" s="706">
        <f t="shared" si="8"/>
        <v>105</v>
      </c>
      <c r="K150" s="709"/>
      <c r="L150" s="708" t="s">
        <v>46</v>
      </c>
    </row>
    <row r="151" spans="1:12" ht="20.25" hidden="1">
      <c r="A151" s="731" t="s">
        <v>76</v>
      </c>
      <c r="B151" s="724" t="s">
        <v>77</v>
      </c>
      <c r="C151" s="725" t="s">
        <v>62</v>
      </c>
      <c r="D151" s="844" t="s">
        <v>37</v>
      </c>
      <c r="E151" s="726">
        <v>4</v>
      </c>
      <c r="F151" s="702" t="s">
        <v>19</v>
      </c>
      <c r="G151" s="828">
        <f>ROUND('r.nierdz zacisk'!O43,2)</f>
        <v>905.98</v>
      </c>
      <c r="H151" s="704" t="s">
        <v>14</v>
      </c>
      <c r="I151" s="705" t="s">
        <v>87</v>
      </c>
      <c r="J151" s="706">
        <f t="shared" si="8"/>
        <v>120</v>
      </c>
      <c r="K151" s="709"/>
      <c r="L151" s="708" t="s">
        <v>46</v>
      </c>
    </row>
    <row r="152" spans="1:12" ht="20.25" hidden="1">
      <c r="A152" s="731" t="s">
        <v>76</v>
      </c>
      <c r="B152" s="722" t="s">
        <v>77</v>
      </c>
      <c r="C152" s="728"/>
      <c r="D152" s="728"/>
      <c r="E152" s="729"/>
      <c r="F152" s="730"/>
      <c r="G152" s="829"/>
      <c r="H152" s="695" t="s">
        <v>88</v>
      </c>
      <c r="I152" s="691"/>
      <c r="J152" s="716"/>
      <c r="K152" s="709"/>
      <c r="L152" s="708" t="s">
        <v>46</v>
      </c>
    </row>
    <row r="153" spans="1:12" ht="20.25" hidden="1">
      <c r="A153" s="731" t="s">
        <v>76</v>
      </c>
      <c r="B153" s="724" t="s">
        <v>77</v>
      </c>
      <c r="C153" s="725" t="s">
        <v>78</v>
      </c>
      <c r="D153" s="725" t="s">
        <v>79</v>
      </c>
      <c r="E153" s="726" t="s">
        <v>18</v>
      </c>
      <c r="F153" s="702" t="s">
        <v>19</v>
      </c>
      <c r="G153" s="828">
        <f>ROUND('r.nierdz zacisk'!O49,2)</f>
        <v>66.67</v>
      </c>
      <c r="H153" s="704" t="s">
        <v>88</v>
      </c>
      <c r="I153" s="705"/>
      <c r="J153" s="706">
        <f>J131</f>
        <v>41</v>
      </c>
      <c r="K153" s="709"/>
      <c r="L153" s="708" t="s">
        <v>46</v>
      </c>
    </row>
    <row r="154" spans="1:12" ht="20.25" hidden="1">
      <c r="A154" s="731" t="s">
        <v>76</v>
      </c>
      <c r="B154" s="724" t="s">
        <v>77</v>
      </c>
      <c r="C154" s="725" t="s">
        <v>47</v>
      </c>
      <c r="D154" s="725" t="s">
        <v>80</v>
      </c>
      <c r="E154" s="726" t="s">
        <v>22</v>
      </c>
      <c r="F154" s="702" t="s">
        <v>19</v>
      </c>
      <c r="G154" s="828">
        <f>ROUND('r.nierdz zacisk'!O50,2)</f>
        <v>76.83</v>
      </c>
      <c r="H154" s="704" t="s">
        <v>88</v>
      </c>
      <c r="I154" s="705"/>
      <c r="J154" s="706">
        <f t="shared" ref="J154:J162" si="9">J132</f>
        <v>46</v>
      </c>
      <c r="K154" s="709"/>
      <c r="L154" s="708" t="s">
        <v>46</v>
      </c>
    </row>
    <row r="155" spans="1:12" ht="20.25" hidden="1">
      <c r="A155" s="731" t="s">
        <v>76</v>
      </c>
      <c r="B155" s="724" t="s">
        <v>77</v>
      </c>
      <c r="C155" s="725" t="s">
        <v>49</v>
      </c>
      <c r="D155" s="725" t="s">
        <v>81</v>
      </c>
      <c r="E155" s="726" t="s">
        <v>24</v>
      </c>
      <c r="F155" s="702" t="s">
        <v>19</v>
      </c>
      <c r="G155" s="828">
        <f>ROUND('r.nierdz zacisk'!O51,2)</f>
        <v>96.62</v>
      </c>
      <c r="H155" s="704" t="s">
        <v>88</v>
      </c>
      <c r="I155" s="705"/>
      <c r="J155" s="706">
        <f t="shared" si="9"/>
        <v>52</v>
      </c>
      <c r="K155" s="709"/>
      <c r="L155" s="708" t="s">
        <v>46</v>
      </c>
    </row>
    <row r="156" spans="1:12" ht="20.25" hidden="1">
      <c r="A156" s="731" t="s">
        <v>76</v>
      </c>
      <c r="B156" s="724" t="s">
        <v>77</v>
      </c>
      <c r="C156" s="725" t="s">
        <v>51</v>
      </c>
      <c r="D156" s="725" t="s">
        <v>82</v>
      </c>
      <c r="E156" s="726" t="s">
        <v>26</v>
      </c>
      <c r="F156" s="702" t="s">
        <v>19</v>
      </c>
      <c r="G156" s="828">
        <f>ROUND('r.nierdz zacisk'!O52,2)</f>
        <v>117.99</v>
      </c>
      <c r="H156" s="704" t="s">
        <v>88</v>
      </c>
      <c r="I156" s="705"/>
      <c r="J156" s="706">
        <f t="shared" si="9"/>
        <v>65</v>
      </c>
      <c r="K156" s="709"/>
      <c r="L156" s="708" t="s">
        <v>46</v>
      </c>
    </row>
    <row r="157" spans="1:12" ht="20.25" hidden="1">
      <c r="A157" s="731" t="s">
        <v>76</v>
      </c>
      <c r="B157" s="724" t="s">
        <v>77</v>
      </c>
      <c r="C157" s="725" t="s">
        <v>53</v>
      </c>
      <c r="D157" s="725" t="s">
        <v>83</v>
      </c>
      <c r="E157" s="726" t="s">
        <v>28</v>
      </c>
      <c r="F157" s="702" t="s">
        <v>19</v>
      </c>
      <c r="G157" s="828">
        <f>ROUND('r.nierdz zacisk'!O53,2)</f>
        <v>158.52000000000001</v>
      </c>
      <c r="H157" s="704" t="s">
        <v>88</v>
      </c>
      <c r="I157" s="705"/>
      <c r="J157" s="706">
        <f t="shared" si="9"/>
        <v>72</v>
      </c>
      <c r="K157" s="709"/>
      <c r="L157" s="708" t="s">
        <v>46</v>
      </c>
    </row>
    <row r="158" spans="1:12" ht="20.25" hidden="1">
      <c r="A158" s="731" t="s">
        <v>76</v>
      </c>
      <c r="B158" s="724" t="s">
        <v>77</v>
      </c>
      <c r="C158" s="725" t="s">
        <v>55</v>
      </c>
      <c r="D158" s="725" t="s">
        <v>84</v>
      </c>
      <c r="E158" s="726" t="s">
        <v>30</v>
      </c>
      <c r="F158" s="702" t="s">
        <v>19</v>
      </c>
      <c r="G158" s="828">
        <f>ROUND('r.nierdz zacisk'!O54,2)</f>
        <v>209.98</v>
      </c>
      <c r="H158" s="704" t="s">
        <v>88</v>
      </c>
      <c r="I158" s="705"/>
      <c r="J158" s="706">
        <f t="shared" si="9"/>
        <v>80</v>
      </c>
      <c r="K158" s="709"/>
      <c r="L158" s="708" t="s">
        <v>46</v>
      </c>
    </row>
    <row r="159" spans="1:12" ht="20.25" hidden="1">
      <c r="A159" s="731" t="s">
        <v>76</v>
      </c>
      <c r="B159" s="724" t="s">
        <v>77</v>
      </c>
      <c r="C159" s="725" t="s">
        <v>57</v>
      </c>
      <c r="D159" s="846" t="s">
        <v>31</v>
      </c>
      <c r="E159" s="726" t="s">
        <v>32</v>
      </c>
      <c r="F159" s="702" t="s">
        <v>19</v>
      </c>
      <c r="G159" s="828">
        <f>ROUND('r.nierdz zacisk'!O55,2)</f>
        <v>265.64</v>
      </c>
      <c r="H159" s="704" t="s">
        <v>88</v>
      </c>
      <c r="I159" s="705"/>
      <c r="J159" s="706">
        <f t="shared" si="9"/>
        <v>82</v>
      </c>
      <c r="K159" s="709"/>
      <c r="L159" s="708" t="s">
        <v>46</v>
      </c>
    </row>
    <row r="160" spans="1:12" ht="20.25" hidden="1">
      <c r="A160" s="731" t="s">
        <v>76</v>
      </c>
      <c r="B160" s="724" t="s">
        <v>77</v>
      </c>
      <c r="C160" s="725" t="s">
        <v>59</v>
      </c>
      <c r="D160" s="844" t="s">
        <v>33</v>
      </c>
      <c r="E160" s="726" t="s">
        <v>34</v>
      </c>
      <c r="F160" s="702" t="s">
        <v>19</v>
      </c>
      <c r="G160" s="828">
        <f>ROUND('r.nierdz zacisk'!O56,2)</f>
        <v>574.36</v>
      </c>
      <c r="H160" s="704" t="s">
        <v>88</v>
      </c>
      <c r="I160" s="705"/>
      <c r="J160" s="706">
        <f t="shared" si="9"/>
        <v>93</v>
      </c>
      <c r="K160" s="709"/>
      <c r="L160" s="708" t="s">
        <v>46</v>
      </c>
    </row>
    <row r="161" spans="1:12" ht="20.25" hidden="1">
      <c r="A161" s="731" t="s">
        <v>76</v>
      </c>
      <c r="B161" s="724" t="s">
        <v>77</v>
      </c>
      <c r="C161" s="725" t="s">
        <v>60</v>
      </c>
      <c r="D161" s="725" t="s">
        <v>61</v>
      </c>
      <c r="E161" s="726" t="s">
        <v>36</v>
      </c>
      <c r="F161" s="702" t="s">
        <v>19</v>
      </c>
      <c r="G161" s="828">
        <f>ROUND('r.nierdz zacisk'!O57,2)</f>
        <v>620.05999999999995</v>
      </c>
      <c r="H161" s="704" t="s">
        <v>88</v>
      </c>
      <c r="I161" s="705"/>
      <c r="J161" s="706">
        <f t="shared" si="9"/>
        <v>105</v>
      </c>
      <c r="K161" s="709"/>
      <c r="L161" s="708" t="s">
        <v>46</v>
      </c>
    </row>
    <row r="162" spans="1:12" ht="20.25" hidden="1">
      <c r="A162" s="731" t="s">
        <v>76</v>
      </c>
      <c r="B162" s="724" t="s">
        <v>77</v>
      </c>
      <c r="C162" s="725" t="s">
        <v>62</v>
      </c>
      <c r="D162" s="844" t="s">
        <v>37</v>
      </c>
      <c r="E162" s="726" t="s">
        <v>38</v>
      </c>
      <c r="F162" s="702" t="s">
        <v>19</v>
      </c>
      <c r="G162" s="828">
        <f>ROUND('r.nierdz zacisk'!O58,2)</f>
        <v>786.84</v>
      </c>
      <c r="H162" s="704" t="s">
        <v>88</v>
      </c>
      <c r="I162" s="705"/>
      <c r="J162" s="706">
        <f t="shared" si="9"/>
        <v>120</v>
      </c>
      <c r="K162" s="709"/>
      <c r="L162" s="708" t="s">
        <v>46</v>
      </c>
    </row>
    <row r="163" spans="1:12" ht="20.25" hidden="1">
      <c r="A163" s="731" t="s">
        <v>76</v>
      </c>
      <c r="B163" s="722" t="s">
        <v>77</v>
      </c>
      <c r="C163" s="728"/>
      <c r="D163" s="728"/>
      <c r="E163" s="729"/>
      <c r="F163" s="730"/>
      <c r="G163" s="829"/>
      <c r="H163" s="695" t="s">
        <v>89</v>
      </c>
      <c r="I163" s="691"/>
      <c r="J163" s="716"/>
      <c r="K163" s="709"/>
      <c r="L163" s="708" t="s">
        <v>46</v>
      </c>
    </row>
    <row r="164" spans="1:12" ht="20.25" hidden="1">
      <c r="A164" s="731" t="s">
        <v>76</v>
      </c>
      <c r="B164" s="724" t="s">
        <v>77</v>
      </c>
      <c r="C164" s="725" t="s">
        <v>78</v>
      </c>
      <c r="D164" s="725" t="s">
        <v>79</v>
      </c>
      <c r="E164" s="726" t="s">
        <v>18</v>
      </c>
      <c r="F164" s="702" t="s">
        <v>19</v>
      </c>
      <c r="G164" s="828">
        <f>ROUND('r.nierdz zacisk'!O83,2)</f>
        <v>60.17</v>
      </c>
      <c r="H164" s="704" t="str">
        <f>H163</f>
        <v>Sanha</v>
      </c>
      <c r="I164" s="705" t="s">
        <v>90</v>
      </c>
      <c r="J164" s="706">
        <f>J153</f>
        <v>41</v>
      </c>
      <c r="K164" s="709"/>
      <c r="L164" s="708" t="s">
        <v>46</v>
      </c>
    </row>
    <row r="165" spans="1:12" ht="20.25" hidden="1">
      <c r="A165" s="731" t="s">
        <v>76</v>
      </c>
      <c r="B165" s="724" t="s">
        <v>77</v>
      </c>
      <c r="C165" s="725" t="s">
        <v>47</v>
      </c>
      <c r="D165" s="725" t="s">
        <v>80</v>
      </c>
      <c r="E165" s="726" t="s">
        <v>22</v>
      </c>
      <c r="F165" s="702" t="s">
        <v>19</v>
      </c>
      <c r="G165" s="828">
        <f>ROUND('r.nierdz zacisk'!O84,2)</f>
        <v>63.1</v>
      </c>
      <c r="H165" s="704" t="str">
        <f t="shared" ref="H165:H175" si="10">H164</f>
        <v>Sanha</v>
      </c>
      <c r="I165" s="705" t="s">
        <v>90</v>
      </c>
      <c r="J165" s="706">
        <f t="shared" ref="J165:J173" si="11">J154</f>
        <v>46</v>
      </c>
      <c r="K165" s="709"/>
      <c r="L165" s="708" t="s">
        <v>46</v>
      </c>
    </row>
    <row r="166" spans="1:12" ht="20.25" hidden="1">
      <c r="A166" s="731" t="s">
        <v>76</v>
      </c>
      <c r="B166" s="724" t="s">
        <v>77</v>
      </c>
      <c r="C166" s="725" t="s">
        <v>49</v>
      </c>
      <c r="D166" s="725" t="s">
        <v>81</v>
      </c>
      <c r="E166" s="726" t="s">
        <v>24</v>
      </c>
      <c r="F166" s="702" t="s">
        <v>19</v>
      </c>
      <c r="G166" s="828">
        <f>ROUND('r.nierdz zacisk'!O85,2)</f>
        <v>72.55</v>
      </c>
      <c r="H166" s="704" t="str">
        <f t="shared" si="10"/>
        <v>Sanha</v>
      </c>
      <c r="I166" s="705" t="s">
        <v>90</v>
      </c>
      <c r="J166" s="706">
        <f t="shared" si="11"/>
        <v>52</v>
      </c>
      <c r="K166" s="709"/>
      <c r="L166" s="708" t="s">
        <v>46</v>
      </c>
    </row>
    <row r="167" spans="1:12" ht="20.25" hidden="1">
      <c r="A167" s="731" t="s">
        <v>76</v>
      </c>
      <c r="B167" s="724" t="s">
        <v>77</v>
      </c>
      <c r="C167" s="725" t="s">
        <v>51</v>
      </c>
      <c r="D167" s="725" t="s">
        <v>82</v>
      </c>
      <c r="E167" s="726" t="s">
        <v>26</v>
      </c>
      <c r="F167" s="702" t="s">
        <v>19</v>
      </c>
      <c r="G167" s="828">
        <f>ROUND('r.nierdz zacisk'!O86,2)</f>
        <v>104.55</v>
      </c>
      <c r="H167" s="704" t="str">
        <f t="shared" si="10"/>
        <v>Sanha</v>
      </c>
      <c r="I167" s="705" t="s">
        <v>90</v>
      </c>
      <c r="J167" s="706">
        <f t="shared" si="11"/>
        <v>65</v>
      </c>
      <c r="K167" s="709"/>
      <c r="L167" s="708" t="s">
        <v>46</v>
      </c>
    </row>
    <row r="168" spans="1:12" ht="20.25" hidden="1">
      <c r="A168" s="731" t="s">
        <v>76</v>
      </c>
      <c r="B168" s="724" t="s">
        <v>77</v>
      </c>
      <c r="C168" s="725" t="s">
        <v>53</v>
      </c>
      <c r="D168" s="725" t="s">
        <v>83</v>
      </c>
      <c r="E168" s="726" t="s">
        <v>28</v>
      </c>
      <c r="F168" s="702" t="s">
        <v>19</v>
      </c>
      <c r="G168" s="828">
        <f>ROUND('r.nierdz zacisk'!O87,2)</f>
        <v>136</v>
      </c>
      <c r="H168" s="704" t="str">
        <f t="shared" si="10"/>
        <v>Sanha</v>
      </c>
      <c r="I168" s="705" t="s">
        <v>90</v>
      </c>
      <c r="J168" s="706">
        <f t="shared" si="11"/>
        <v>72</v>
      </c>
      <c r="K168" s="709"/>
      <c r="L168" s="708" t="s">
        <v>46</v>
      </c>
    </row>
    <row r="169" spans="1:12" ht="20.25" hidden="1">
      <c r="A169" s="731" t="s">
        <v>76</v>
      </c>
      <c r="B169" s="724" t="s">
        <v>77</v>
      </c>
      <c r="C169" s="725" t="s">
        <v>55</v>
      </c>
      <c r="D169" s="725" t="s">
        <v>84</v>
      </c>
      <c r="E169" s="726" t="s">
        <v>30</v>
      </c>
      <c r="F169" s="702" t="s">
        <v>19</v>
      </c>
      <c r="G169" s="828">
        <f>ROUND('r.nierdz zacisk'!O88,2)</f>
        <v>169.87</v>
      </c>
      <c r="H169" s="704" t="str">
        <f t="shared" si="10"/>
        <v>Sanha</v>
      </c>
      <c r="I169" s="705" t="s">
        <v>90</v>
      </c>
      <c r="J169" s="706">
        <f t="shared" si="11"/>
        <v>80</v>
      </c>
      <c r="K169" s="709"/>
      <c r="L169" s="708" t="s">
        <v>46</v>
      </c>
    </row>
    <row r="170" spans="1:12" ht="20.25" hidden="1">
      <c r="A170" s="731" t="s">
        <v>76</v>
      </c>
      <c r="B170" s="724" t="s">
        <v>77</v>
      </c>
      <c r="C170" s="725" t="s">
        <v>57</v>
      </c>
      <c r="D170" s="846" t="s">
        <v>31</v>
      </c>
      <c r="E170" s="726" t="s">
        <v>32</v>
      </c>
      <c r="F170" s="702" t="s">
        <v>19</v>
      </c>
      <c r="G170" s="828">
        <f>ROUND('r.nierdz zacisk'!O89,2)</f>
        <v>219.33</v>
      </c>
      <c r="H170" s="704" t="str">
        <f t="shared" si="10"/>
        <v>Sanha</v>
      </c>
      <c r="I170" s="705" t="s">
        <v>90</v>
      </c>
      <c r="J170" s="706">
        <f t="shared" si="11"/>
        <v>82</v>
      </c>
      <c r="K170" s="709"/>
      <c r="L170" s="708" t="s">
        <v>46</v>
      </c>
    </row>
    <row r="171" spans="1:12" ht="20.25" hidden="1">
      <c r="A171" s="731" t="s">
        <v>76</v>
      </c>
      <c r="B171" s="724" t="s">
        <v>77</v>
      </c>
      <c r="C171" s="725" t="s">
        <v>59</v>
      </c>
      <c r="D171" s="844" t="s">
        <v>33</v>
      </c>
      <c r="E171" s="726" t="s">
        <v>34</v>
      </c>
      <c r="F171" s="702" t="s">
        <v>19</v>
      </c>
      <c r="G171" s="828">
        <f>ROUND('r.nierdz zacisk'!O90,2)</f>
        <v>477.76</v>
      </c>
      <c r="H171" s="704" t="str">
        <f t="shared" si="10"/>
        <v>Sanha</v>
      </c>
      <c r="I171" s="705" t="s">
        <v>90</v>
      </c>
      <c r="J171" s="706">
        <f t="shared" si="11"/>
        <v>93</v>
      </c>
      <c r="K171" s="709"/>
      <c r="L171" s="708" t="s">
        <v>46</v>
      </c>
    </row>
    <row r="172" spans="1:12" ht="20.25" hidden="1">
      <c r="A172" s="731" t="s">
        <v>76</v>
      </c>
      <c r="B172" s="724" t="s">
        <v>77</v>
      </c>
      <c r="C172" s="725" t="s">
        <v>60</v>
      </c>
      <c r="D172" s="725" t="s">
        <v>61</v>
      </c>
      <c r="E172" s="726" t="s">
        <v>36</v>
      </c>
      <c r="F172" s="702" t="s">
        <v>19</v>
      </c>
      <c r="G172" s="828">
        <f>ROUND('r.nierdz zacisk'!O91,2)</f>
        <v>538.39</v>
      </c>
      <c r="H172" s="704" t="str">
        <f t="shared" si="10"/>
        <v>Sanha</v>
      </c>
      <c r="I172" s="705" t="s">
        <v>90</v>
      </c>
      <c r="J172" s="706">
        <f t="shared" si="11"/>
        <v>105</v>
      </c>
      <c r="K172" s="709"/>
      <c r="L172" s="708" t="s">
        <v>46</v>
      </c>
    </row>
    <row r="173" spans="1:12" ht="20.25" hidden="1">
      <c r="A173" s="731" t="s">
        <v>76</v>
      </c>
      <c r="B173" s="724" t="s">
        <v>77</v>
      </c>
      <c r="C173" s="725" t="s">
        <v>62</v>
      </c>
      <c r="D173" s="844" t="s">
        <v>37</v>
      </c>
      <c r="E173" s="726" t="s">
        <v>38</v>
      </c>
      <c r="F173" s="702" t="s">
        <v>19</v>
      </c>
      <c r="G173" s="828">
        <f>ROUND('r.nierdz zacisk'!O92,2)</f>
        <v>662.74</v>
      </c>
      <c r="H173" s="704" t="str">
        <f t="shared" si="10"/>
        <v>Sanha</v>
      </c>
      <c r="I173" s="705" t="s">
        <v>90</v>
      </c>
      <c r="J173" s="706">
        <f t="shared" si="11"/>
        <v>120</v>
      </c>
      <c r="K173" s="709"/>
      <c r="L173" s="708" t="s">
        <v>46</v>
      </c>
    </row>
    <row r="174" spans="1:12" ht="20.25" hidden="1">
      <c r="A174" s="731" t="s">
        <v>76</v>
      </c>
      <c r="B174" s="724" t="s">
        <v>77</v>
      </c>
      <c r="C174" s="725" t="s">
        <v>63</v>
      </c>
      <c r="D174" s="725" t="s">
        <v>64</v>
      </c>
      <c r="E174" s="726">
        <v>5</v>
      </c>
      <c r="F174" s="702" t="s">
        <v>19</v>
      </c>
      <c r="G174" s="828">
        <f>ROUND('r.nierdz zacisk'!O93,2)</f>
        <v>1225.77</v>
      </c>
      <c r="H174" s="704" t="str">
        <f t="shared" si="10"/>
        <v>Sanha</v>
      </c>
      <c r="I174" s="705" t="s">
        <v>90</v>
      </c>
      <c r="J174" s="706">
        <f>J141</f>
        <v>150</v>
      </c>
      <c r="K174" s="709"/>
      <c r="L174" s="708" t="s">
        <v>46</v>
      </c>
    </row>
    <row r="175" spans="1:12" ht="20.25" hidden="1">
      <c r="A175" s="731" t="s">
        <v>76</v>
      </c>
      <c r="B175" s="724" t="s">
        <v>77</v>
      </c>
      <c r="C175" s="725" t="s">
        <v>66</v>
      </c>
      <c r="D175" s="725" t="s">
        <v>85</v>
      </c>
      <c r="E175" s="726">
        <v>6</v>
      </c>
      <c r="F175" s="702" t="s">
        <v>19</v>
      </c>
      <c r="G175" s="828">
        <f>ROUND('r.nierdz zacisk'!O94,2)</f>
        <v>1859.15</v>
      </c>
      <c r="H175" s="704" t="str">
        <f t="shared" si="10"/>
        <v>Sanha</v>
      </c>
      <c r="I175" s="705" t="s">
        <v>90</v>
      </c>
      <c r="J175" s="706">
        <f>J142</f>
        <v>180</v>
      </c>
      <c r="K175" s="709"/>
      <c r="L175" s="708" t="s">
        <v>46</v>
      </c>
    </row>
    <row r="176" spans="1:12" ht="20.25" hidden="1">
      <c r="A176" s="731" t="s">
        <v>76</v>
      </c>
      <c r="B176" s="722" t="s">
        <v>77</v>
      </c>
      <c r="C176" s="728"/>
      <c r="D176" s="728"/>
      <c r="E176" s="729"/>
      <c r="F176" s="730"/>
      <c r="G176" s="829"/>
      <c r="H176" s="695" t="s">
        <v>89</v>
      </c>
      <c r="I176" s="691"/>
      <c r="J176" s="716"/>
      <c r="K176" s="709"/>
      <c r="L176" s="708" t="s">
        <v>46</v>
      </c>
    </row>
    <row r="177" spans="1:12" ht="20.25" hidden="1">
      <c r="A177" s="731" t="s">
        <v>76</v>
      </c>
      <c r="B177" s="724" t="s">
        <v>77</v>
      </c>
      <c r="C177" s="725" t="s">
        <v>78</v>
      </c>
      <c r="D177" s="725" t="s">
        <v>79</v>
      </c>
      <c r="E177" s="726" t="s">
        <v>18</v>
      </c>
      <c r="F177" s="702" t="s">
        <v>19</v>
      </c>
      <c r="G177" s="828">
        <f>ROUND('r.nierdz zacisk'!O100,2)</f>
        <v>40.26</v>
      </c>
      <c r="H177" s="704" t="str">
        <f>H176</f>
        <v>Sanha</v>
      </c>
      <c r="I177" s="705" t="s">
        <v>91</v>
      </c>
      <c r="J177" s="706">
        <f>J164</f>
        <v>41</v>
      </c>
      <c r="K177" s="709"/>
      <c r="L177" s="708" t="s">
        <v>46</v>
      </c>
    </row>
    <row r="178" spans="1:12" ht="20.25" hidden="1">
      <c r="A178" s="731" t="s">
        <v>76</v>
      </c>
      <c r="B178" s="724" t="s">
        <v>77</v>
      </c>
      <c r="C178" s="725" t="s">
        <v>47</v>
      </c>
      <c r="D178" s="725" t="s">
        <v>80</v>
      </c>
      <c r="E178" s="726" t="s">
        <v>22</v>
      </c>
      <c r="F178" s="702" t="s">
        <v>19</v>
      </c>
      <c r="G178" s="828">
        <f>ROUND('r.nierdz zacisk'!O101,2)</f>
        <v>63.1</v>
      </c>
      <c r="H178" s="704" t="str">
        <f t="shared" ref="H178:H188" si="12">H177</f>
        <v>Sanha</v>
      </c>
      <c r="I178" s="705" t="s">
        <v>91</v>
      </c>
      <c r="J178" s="706">
        <f t="shared" ref="J178:J188" si="13">J165</f>
        <v>46</v>
      </c>
      <c r="K178" s="709"/>
      <c r="L178" s="708" t="s">
        <v>46</v>
      </c>
    </row>
    <row r="179" spans="1:12" ht="20.25" hidden="1">
      <c r="A179" s="731" t="s">
        <v>76</v>
      </c>
      <c r="B179" s="724" t="s">
        <v>77</v>
      </c>
      <c r="C179" s="725" t="s">
        <v>49</v>
      </c>
      <c r="D179" s="725" t="s">
        <v>81</v>
      </c>
      <c r="E179" s="726" t="s">
        <v>24</v>
      </c>
      <c r="F179" s="702" t="s">
        <v>19</v>
      </c>
      <c r="G179" s="828">
        <f>ROUND('r.nierdz zacisk'!O102,2)</f>
        <v>72.55</v>
      </c>
      <c r="H179" s="704" t="str">
        <f t="shared" si="12"/>
        <v>Sanha</v>
      </c>
      <c r="I179" s="705" t="s">
        <v>91</v>
      </c>
      <c r="J179" s="706">
        <f t="shared" si="13"/>
        <v>52</v>
      </c>
      <c r="K179" s="709"/>
      <c r="L179" s="708" t="s">
        <v>46</v>
      </c>
    </row>
    <row r="180" spans="1:12" ht="20.25" hidden="1">
      <c r="A180" s="731" t="s">
        <v>76</v>
      </c>
      <c r="B180" s="724" t="s">
        <v>77</v>
      </c>
      <c r="C180" s="725" t="s">
        <v>51</v>
      </c>
      <c r="D180" s="725" t="s">
        <v>82</v>
      </c>
      <c r="E180" s="726" t="s">
        <v>26</v>
      </c>
      <c r="F180" s="702" t="s">
        <v>19</v>
      </c>
      <c r="G180" s="828">
        <f>ROUND('r.nierdz zacisk'!O103,2)</f>
        <v>104.55</v>
      </c>
      <c r="H180" s="704" t="str">
        <f t="shared" si="12"/>
        <v>Sanha</v>
      </c>
      <c r="I180" s="705" t="s">
        <v>91</v>
      </c>
      <c r="J180" s="706">
        <f t="shared" si="13"/>
        <v>65</v>
      </c>
      <c r="K180" s="709"/>
      <c r="L180" s="708" t="s">
        <v>46</v>
      </c>
    </row>
    <row r="181" spans="1:12" ht="20.25" hidden="1">
      <c r="A181" s="731" t="s">
        <v>76</v>
      </c>
      <c r="B181" s="724" t="s">
        <v>77</v>
      </c>
      <c r="C181" s="725" t="s">
        <v>53</v>
      </c>
      <c r="D181" s="725" t="s">
        <v>83</v>
      </c>
      <c r="E181" s="726" t="s">
        <v>28</v>
      </c>
      <c r="F181" s="702" t="s">
        <v>19</v>
      </c>
      <c r="G181" s="828">
        <f>ROUND('r.nierdz zacisk'!O104,2)</f>
        <v>136</v>
      </c>
      <c r="H181" s="704" t="str">
        <f t="shared" si="12"/>
        <v>Sanha</v>
      </c>
      <c r="I181" s="705" t="s">
        <v>91</v>
      </c>
      <c r="J181" s="706">
        <f t="shared" si="13"/>
        <v>72</v>
      </c>
      <c r="K181" s="709"/>
      <c r="L181" s="708" t="s">
        <v>46</v>
      </c>
    </row>
    <row r="182" spans="1:12" ht="20.25" hidden="1">
      <c r="A182" s="731" t="s">
        <v>76</v>
      </c>
      <c r="B182" s="724" t="s">
        <v>77</v>
      </c>
      <c r="C182" s="725" t="s">
        <v>55</v>
      </c>
      <c r="D182" s="725" t="s">
        <v>84</v>
      </c>
      <c r="E182" s="726" t="s">
        <v>30</v>
      </c>
      <c r="F182" s="702" t="s">
        <v>19</v>
      </c>
      <c r="G182" s="828">
        <f>ROUND('r.nierdz zacisk'!O105,2)</f>
        <v>169.87</v>
      </c>
      <c r="H182" s="704" t="str">
        <f t="shared" si="12"/>
        <v>Sanha</v>
      </c>
      <c r="I182" s="705" t="s">
        <v>91</v>
      </c>
      <c r="J182" s="706">
        <f t="shared" si="13"/>
        <v>80</v>
      </c>
      <c r="K182" s="709"/>
      <c r="L182" s="708" t="s">
        <v>46</v>
      </c>
    </row>
    <row r="183" spans="1:12" ht="20.25" hidden="1">
      <c r="A183" s="731" t="s">
        <v>76</v>
      </c>
      <c r="B183" s="724" t="s">
        <v>77</v>
      </c>
      <c r="C183" s="725" t="s">
        <v>57</v>
      </c>
      <c r="D183" s="846" t="s">
        <v>31</v>
      </c>
      <c r="E183" s="726" t="s">
        <v>32</v>
      </c>
      <c r="F183" s="702" t="s">
        <v>19</v>
      </c>
      <c r="G183" s="828">
        <f>ROUND('r.nierdz zacisk'!O106,2)</f>
        <v>219.33</v>
      </c>
      <c r="H183" s="704" t="str">
        <f t="shared" si="12"/>
        <v>Sanha</v>
      </c>
      <c r="I183" s="705" t="s">
        <v>91</v>
      </c>
      <c r="J183" s="706">
        <f t="shared" si="13"/>
        <v>82</v>
      </c>
      <c r="K183" s="709"/>
      <c r="L183" s="708" t="s">
        <v>46</v>
      </c>
    </row>
    <row r="184" spans="1:12" ht="20.25" hidden="1">
      <c r="A184" s="731" t="s">
        <v>76</v>
      </c>
      <c r="B184" s="724" t="s">
        <v>77</v>
      </c>
      <c r="C184" s="725" t="s">
        <v>59</v>
      </c>
      <c r="D184" s="844" t="s">
        <v>33</v>
      </c>
      <c r="E184" s="726" t="s">
        <v>34</v>
      </c>
      <c r="F184" s="702" t="s">
        <v>19</v>
      </c>
      <c r="G184" s="828">
        <f>ROUND('r.nierdz zacisk'!O107,2)</f>
        <v>312.7</v>
      </c>
      <c r="H184" s="704" t="str">
        <f t="shared" si="12"/>
        <v>Sanha</v>
      </c>
      <c r="I184" s="705" t="s">
        <v>91</v>
      </c>
      <c r="J184" s="706">
        <f t="shared" si="13"/>
        <v>93</v>
      </c>
      <c r="K184" s="709"/>
      <c r="L184" s="708" t="s">
        <v>46</v>
      </c>
    </row>
    <row r="185" spans="1:12" ht="20.25" hidden="1">
      <c r="A185" s="731" t="s">
        <v>76</v>
      </c>
      <c r="B185" s="724" t="s">
        <v>77</v>
      </c>
      <c r="C185" s="725" t="s">
        <v>60</v>
      </c>
      <c r="D185" s="725" t="s">
        <v>61</v>
      </c>
      <c r="E185" s="726" t="s">
        <v>36</v>
      </c>
      <c r="F185" s="702" t="s">
        <v>19</v>
      </c>
      <c r="G185" s="828">
        <f>ROUND('r.nierdz zacisk'!O108,2)</f>
        <v>373.04</v>
      </c>
      <c r="H185" s="704" t="str">
        <f t="shared" si="12"/>
        <v>Sanha</v>
      </c>
      <c r="I185" s="705" t="s">
        <v>91</v>
      </c>
      <c r="J185" s="706">
        <f t="shared" si="13"/>
        <v>105</v>
      </c>
      <c r="K185" s="709"/>
      <c r="L185" s="708" t="s">
        <v>46</v>
      </c>
    </row>
    <row r="186" spans="1:12" ht="20.25" hidden="1">
      <c r="A186" s="731" t="s">
        <v>76</v>
      </c>
      <c r="B186" s="724" t="s">
        <v>77</v>
      </c>
      <c r="C186" s="725" t="s">
        <v>62</v>
      </c>
      <c r="D186" s="844" t="s">
        <v>37</v>
      </c>
      <c r="E186" s="726" t="s">
        <v>38</v>
      </c>
      <c r="F186" s="702" t="s">
        <v>19</v>
      </c>
      <c r="G186" s="828">
        <f>ROUND('r.nierdz zacisk'!O109,2)</f>
        <v>455.86</v>
      </c>
      <c r="H186" s="704" t="str">
        <f t="shared" si="12"/>
        <v>Sanha</v>
      </c>
      <c r="I186" s="705" t="s">
        <v>91</v>
      </c>
      <c r="J186" s="706">
        <f t="shared" si="13"/>
        <v>120</v>
      </c>
      <c r="K186" s="709"/>
      <c r="L186" s="708" t="s">
        <v>46</v>
      </c>
    </row>
    <row r="187" spans="1:12" ht="20.25" hidden="1">
      <c r="A187" s="731" t="s">
        <v>76</v>
      </c>
      <c r="B187" s="724" t="s">
        <v>77</v>
      </c>
      <c r="C187" s="725" t="s">
        <v>63</v>
      </c>
      <c r="D187" s="725" t="s">
        <v>64</v>
      </c>
      <c r="E187" s="726">
        <v>5</v>
      </c>
      <c r="F187" s="702" t="s">
        <v>19</v>
      </c>
      <c r="G187" s="828">
        <f>ROUND('r.nierdz zacisk'!O110,2)</f>
        <v>1160.6099999999999</v>
      </c>
      <c r="H187" s="704" t="str">
        <f t="shared" si="12"/>
        <v>Sanha</v>
      </c>
      <c r="I187" s="705" t="s">
        <v>91</v>
      </c>
      <c r="J187" s="706">
        <f t="shared" si="13"/>
        <v>150</v>
      </c>
      <c r="K187" s="709"/>
      <c r="L187" s="708" t="s">
        <v>46</v>
      </c>
    </row>
    <row r="188" spans="1:12" ht="20.25" hidden="1">
      <c r="A188" s="731" t="s">
        <v>76</v>
      </c>
      <c r="B188" s="724" t="s">
        <v>77</v>
      </c>
      <c r="C188" s="725" t="s">
        <v>66</v>
      </c>
      <c r="D188" s="725" t="s">
        <v>85</v>
      </c>
      <c r="E188" s="726">
        <v>6</v>
      </c>
      <c r="F188" s="702" t="s">
        <v>19</v>
      </c>
      <c r="G188" s="828">
        <f>ROUND('r.nierdz zacisk'!O111,2)</f>
        <v>1653.45</v>
      </c>
      <c r="H188" s="704" t="str">
        <f t="shared" si="12"/>
        <v>Sanha</v>
      </c>
      <c r="I188" s="705" t="s">
        <v>91</v>
      </c>
      <c r="J188" s="706">
        <f t="shared" si="13"/>
        <v>180</v>
      </c>
      <c r="K188" s="709"/>
      <c r="L188" s="708" t="s">
        <v>46</v>
      </c>
    </row>
    <row r="189" spans="1:12" ht="20.25" hidden="1">
      <c r="A189" s="731" t="s">
        <v>76</v>
      </c>
      <c r="B189" s="722" t="s">
        <v>77</v>
      </c>
      <c r="C189" s="728"/>
      <c r="D189" s="728"/>
      <c r="E189" s="729"/>
      <c r="F189" s="730"/>
      <c r="G189" s="829"/>
      <c r="H189" s="695" t="s">
        <v>92</v>
      </c>
      <c r="I189" s="691"/>
      <c r="J189" s="716"/>
      <c r="K189" s="709"/>
      <c r="L189" s="708" t="s">
        <v>46</v>
      </c>
    </row>
    <row r="190" spans="1:12" ht="20.25" hidden="1">
      <c r="A190" s="731" t="s">
        <v>76</v>
      </c>
      <c r="B190" s="724" t="s">
        <v>77</v>
      </c>
      <c r="C190" s="725" t="s">
        <v>78</v>
      </c>
      <c r="D190" s="725" t="s">
        <v>79</v>
      </c>
      <c r="E190" s="726" t="s">
        <v>18</v>
      </c>
      <c r="F190" s="702" t="s">
        <v>19</v>
      </c>
      <c r="G190" s="828">
        <v>0</v>
      </c>
      <c r="H190" s="704" t="str">
        <f>H189</f>
        <v>Viega</v>
      </c>
      <c r="I190" s="732"/>
      <c r="J190" s="706">
        <f>J177</f>
        <v>41</v>
      </c>
      <c r="K190" s="709"/>
      <c r="L190" s="708" t="s">
        <v>46</v>
      </c>
    </row>
    <row r="191" spans="1:12" ht="20.25" hidden="1">
      <c r="A191" s="731" t="s">
        <v>76</v>
      </c>
      <c r="B191" s="724" t="s">
        <v>77</v>
      </c>
      <c r="C191" s="725" t="s">
        <v>47</v>
      </c>
      <c r="D191" s="725" t="s">
        <v>80</v>
      </c>
      <c r="E191" s="726" t="s">
        <v>22</v>
      </c>
      <c r="F191" s="702" t="s">
        <v>19</v>
      </c>
      <c r="G191" s="828">
        <v>0</v>
      </c>
      <c r="H191" s="704" t="str">
        <f t="shared" ref="H191:H199" si="14">H190</f>
        <v>Viega</v>
      </c>
      <c r="I191" s="732"/>
      <c r="J191" s="706">
        <f t="shared" ref="J191:J199" si="15">J178</f>
        <v>46</v>
      </c>
      <c r="K191" s="709"/>
      <c r="L191" s="708" t="s">
        <v>46</v>
      </c>
    </row>
    <row r="192" spans="1:12" ht="20.25" hidden="1">
      <c r="A192" s="731" t="s">
        <v>76</v>
      </c>
      <c r="B192" s="724" t="s">
        <v>77</v>
      </c>
      <c r="C192" s="725" t="s">
        <v>49</v>
      </c>
      <c r="D192" s="725" t="s">
        <v>81</v>
      </c>
      <c r="E192" s="726" t="s">
        <v>24</v>
      </c>
      <c r="F192" s="702" t="s">
        <v>19</v>
      </c>
      <c r="G192" s="828">
        <v>0</v>
      </c>
      <c r="H192" s="704" t="str">
        <f t="shared" si="14"/>
        <v>Viega</v>
      </c>
      <c r="I192" s="732"/>
      <c r="J192" s="706">
        <f t="shared" si="15"/>
        <v>52</v>
      </c>
      <c r="K192" s="709"/>
      <c r="L192" s="708" t="s">
        <v>46</v>
      </c>
    </row>
    <row r="193" spans="1:12" ht="20.25" hidden="1">
      <c r="A193" s="731" t="s">
        <v>76</v>
      </c>
      <c r="B193" s="724" t="s">
        <v>77</v>
      </c>
      <c r="C193" s="725" t="s">
        <v>51</v>
      </c>
      <c r="D193" s="725" t="s">
        <v>82</v>
      </c>
      <c r="E193" s="726">
        <v>1</v>
      </c>
      <c r="F193" s="702" t="s">
        <v>19</v>
      </c>
      <c r="G193" s="828">
        <v>0</v>
      </c>
      <c r="H193" s="704" t="str">
        <f t="shared" si="14"/>
        <v>Viega</v>
      </c>
      <c r="I193" s="732"/>
      <c r="J193" s="706">
        <f t="shared" si="15"/>
        <v>65</v>
      </c>
      <c r="K193" s="709"/>
      <c r="L193" s="708" t="s">
        <v>46</v>
      </c>
    </row>
    <row r="194" spans="1:12" ht="20.25" hidden="1">
      <c r="A194" s="731" t="s">
        <v>76</v>
      </c>
      <c r="B194" s="724" t="s">
        <v>77</v>
      </c>
      <c r="C194" s="725" t="s">
        <v>53</v>
      </c>
      <c r="D194" s="725" t="s">
        <v>83</v>
      </c>
      <c r="E194" s="726">
        <v>1.25</v>
      </c>
      <c r="F194" s="702" t="s">
        <v>19</v>
      </c>
      <c r="G194" s="828">
        <v>0</v>
      </c>
      <c r="H194" s="704" t="str">
        <f t="shared" si="14"/>
        <v>Viega</v>
      </c>
      <c r="I194" s="732"/>
      <c r="J194" s="706">
        <f t="shared" si="15"/>
        <v>72</v>
      </c>
      <c r="K194" s="709"/>
      <c r="L194" s="708" t="s">
        <v>46</v>
      </c>
    </row>
    <row r="195" spans="1:12" ht="20.25" hidden="1">
      <c r="A195" s="731" t="s">
        <v>76</v>
      </c>
      <c r="B195" s="724" t="s">
        <v>77</v>
      </c>
      <c r="C195" s="725" t="s">
        <v>55</v>
      </c>
      <c r="D195" s="725" t="s">
        <v>84</v>
      </c>
      <c r="E195" s="726">
        <v>1.5</v>
      </c>
      <c r="F195" s="702" t="s">
        <v>19</v>
      </c>
      <c r="G195" s="828">
        <v>0</v>
      </c>
      <c r="H195" s="704" t="str">
        <f t="shared" si="14"/>
        <v>Viega</v>
      </c>
      <c r="I195" s="732"/>
      <c r="J195" s="706">
        <f t="shared" si="15"/>
        <v>80</v>
      </c>
      <c r="K195" s="709"/>
      <c r="L195" s="708" t="s">
        <v>46</v>
      </c>
    </row>
    <row r="196" spans="1:12" ht="20.25" hidden="1">
      <c r="A196" s="731" t="s">
        <v>76</v>
      </c>
      <c r="B196" s="724" t="s">
        <v>77</v>
      </c>
      <c r="C196" s="725" t="s">
        <v>57</v>
      </c>
      <c r="D196" s="846" t="s">
        <v>31</v>
      </c>
      <c r="E196" s="726">
        <v>2</v>
      </c>
      <c r="F196" s="702" t="s">
        <v>19</v>
      </c>
      <c r="G196" s="828">
        <v>0</v>
      </c>
      <c r="H196" s="704" t="str">
        <f t="shared" si="14"/>
        <v>Viega</v>
      </c>
      <c r="I196" s="732"/>
      <c r="J196" s="706">
        <f t="shared" si="15"/>
        <v>82</v>
      </c>
      <c r="K196" s="709"/>
      <c r="L196" s="708" t="s">
        <v>46</v>
      </c>
    </row>
    <row r="197" spans="1:12" ht="20.25" hidden="1">
      <c r="A197" s="731" t="s">
        <v>76</v>
      </c>
      <c r="B197" s="724" t="s">
        <v>77</v>
      </c>
      <c r="C197" s="725" t="s">
        <v>59</v>
      </c>
      <c r="D197" s="844" t="s">
        <v>33</v>
      </c>
      <c r="E197" s="726" t="s">
        <v>34</v>
      </c>
      <c r="F197" s="702" t="s">
        <v>19</v>
      </c>
      <c r="G197" s="828">
        <v>0</v>
      </c>
      <c r="H197" s="704" t="str">
        <f t="shared" si="14"/>
        <v>Viega</v>
      </c>
      <c r="I197" s="732"/>
      <c r="J197" s="706">
        <f t="shared" si="15"/>
        <v>93</v>
      </c>
      <c r="K197" s="709"/>
      <c r="L197" s="708" t="s">
        <v>46</v>
      </c>
    </row>
    <row r="198" spans="1:12" ht="20.25" hidden="1">
      <c r="A198" s="731" t="s">
        <v>76</v>
      </c>
      <c r="B198" s="724" t="s">
        <v>77</v>
      </c>
      <c r="C198" s="725" t="s">
        <v>60</v>
      </c>
      <c r="D198" s="725" t="s">
        <v>61</v>
      </c>
      <c r="E198" s="726">
        <v>3</v>
      </c>
      <c r="F198" s="702" t="s">
        <v>19</v>
      </c>
      <c r="G198" s="828">
        <v>0</v>
      </c>
      <c r="H198" s="704" t="str">
        <f t="shared" si="14"/>
        <v>Viega</v>
      </c>
      <c r="I198" s="732"/>
      <c r="J198" s="706">
        <f t="shared" si="15"/>
        <v>105</v>
      </c>
      <c r="K198" s="709"/>
      <c r="L198" s="708" t="s">
        <v>46</v>
      </c>
    </row>
    <row r="199" spans="1:12" ht="20.25" hidden="1">
      <c r="A199" s="731" t="s">
        <v>76</v>
      </c>
      <c r="B199" s="724" t="s">
        <v>77</v>
      </c>
      <c r="C199" s="725" t="s">
        <v>62</v>
      </c>
      <c r="D199" s="844" t="s">
        <v>37</v>
      </c>
      <c r="E199" s="726">
        <v>4</v>
      </c>
      <c r="F199" s="702" t="s">
        <v>19</v>
      </c>
      <c r="G199" s="828">
        <v>0</v>
      </c>
      <c r="H199" s="704" t="str">
        <f t="shared" si="14"/>
        <v>Viega</v>
      </c>
      <c r="I199" s="732"/>
      <c r="J199" s="706">
        <f t="shared" si="15"/>
        <v>120</v>
      </c>
      <c r="K199" s="709"/>
      <c r="L199" s="708" t="s">
        <v>46</v>
      </c>
    </row>
    <row r="200" spans="1:12" ht="20.25" hidden="1">
      <c r="A200" s="731" t="s">
        <v>76</v>
      </c>
      <c r="B200" s="722"/>
      <c r="C200" s="728"/>
      <c r="D200" s="728"/>
      <c r="E200" s="729"/>
      <c r="F200" s="730"/>
      <c r="G200" s="723"/>
      <c r="H200" s="695"/>
      <c r="I200" s="733"/>
      <c r="J200" s="716"/>
      <c r="K200" s="709"/>
      <c r="L200" s="708" t="s">
        <v>16</v>
      </c>
    </row>
    <row r="201" spans="1:12" ht="20.25" hidden="1">
      <c r="A201" s="731" t="s">
        <v>76</v>
      </c>
      <c r="B201" s="724" t="s">
        <v>93</v>
      </c>
      <c r="C201" s="725" t="s">
        <v>94</v>
      </c>
      <c r="D201" s="725" t="s">
        <v>79</v>
      </c>
      <c r="E201" s="726" t="s">
        <v>18</v>
      </c>
      <c r="F201" s="702" t="s">
        <v>19</v>
      </c>
      <c r="G201" s="828">
        <f>ROUND('r.ocynk zacisk'!M7,2)</f>
        <v>20.23</v>
      </c>
      <c r="H201" s="704" t="s">
        <v>14</v>
      </c>
      <c r="I201" s="732"/>
      <c r="J201" s="706">
        <v>41</v>
      </c>
      <c r="K201" s="709"/>
      <c r="L201" s="708" t="s">
        <v>16</v>
      </c>
    </row>
    <row r="202" spans="1:12" ht="20.25" hidden="1">
      <c r="A202" s="731" t="s">
        <v>76</v>
      </c>
      <c r="B202" s="724" t="s">
        <v>93</v>
      </c>
      <c r="C202" s="725" t="s">
        <v>47</v>
      </c>
      <c r="D202" s="725" t="s">
        <v>80</v>
      </c>
      <c r="E202" s="726" t="s">
        <v>22</v>
      </c>
      <c r="F202" s="702" t="s">
        <v>19</v>
      </c>
      <c r="G202" s="828">
        <f>ROUND('r.ocynk zacisk'!M8,2)</f>
        <v>22.37</v>
      </c>
      <c r="H202" s="704" t="s">
        <v>14</v>
      </c>
      <c r="I202" s="732"/>
      <c r="J202" s="706">
        <v>46</v>
      </c>
      <c r="K202" s="709"/>
      <c r="L202" s="708" t="s">
        <v>16</v>
      </c>
    </row>
    <row r="203" spans="1:12" ht="20.25" hidden="1">
      <c r="A203" s="731" t="s">
        <v>76</v>
      </c>
      <c r="B203" s="724" t="s">
        <v>93</v>
      </c>
      <c r="C203" s="725" t="s">
        <v>49</v>
      </c>
      <c r="D203" s="725" t="s">
        <v>81</v>
      </c>
      <c r="E203" s="726" t="s">
        <v>24</v>
      </c>
      <c r="F203" s="702" t="s">
        <v>19</v>
      </c>
      <c r="G203" s="828">
        <f>ROUND('r.ocynk zacisk'!M9,2)</f>
        <v>27.02</v>
      </c>
      <c r="H203" s="704" t="s">
        <v>14</v>
      </c>
      <c r="I203" s="732"/>
      <c r="J203" s="706">
        <v>52</v>
      </c>
      <c r="K203" s="709"/>
      <c r="L203" s="708" t="s">
        <v>16</v>
      </c>
    </row>
    <row r="204" spans="1:12" ht="20.25" hidden="1">
      <c r="A204" s="731" t="s">
        <v>76</v>
      </c>
      <c r="B204" s="724" t="s">
        <v>93</v>
      </c>
      <c r="C204" s="725" t="s">
        <v>51</v>
      </c>
      <c r="D204" s="725" t="s">
        <v>82</v>
      </c>
      <c r="E204" s="726">
        <v>1</v>
      </c>
      <c r="F204" s="702" t="s">
        <v>19</v>
      </c>
      <c r="G204" s="828">
        <f>ROUND('r.ocynk zacisk'!M10,2)</f>
        <v>34.1</v>
      </c>
      <c r="H204" s="704" t="s">
        <v>14</v>
      </c>
      <c r="I204" s="732"/>
      <c r="J204" s="706">
        <v>65</v>
      </c>
      <c r="K204" s="709"/>
      <c r="L204" s="708" t="s">
        <v>16</v>
      </c>
    </row>
    <row r="205" spans="1:12" ht="20.25" hidden="1">
      <c r="A205" s="731" t="s">
        <v>76</v>
      </c>
      <c r="B205" s="724" t="s">
        <v>93</v>
      </c>
      <c r="C205" s="725" t="s">
        <v>53</v>
      </c>
      <c r="D205" s="725" t="s">
        <v>83</v>
      </c>
      <c r="E205" s="726">
        <v>1.25</v>
      </c>
      <c r="F205" s="702" t="s">
        <v>19</v>
      </c>
      <c r="G205" s="828">
        <f>ROUND('r.ocynk zacisk'!M11,2)</f>
        <v>51.11</v>
      </c>
      <c r="H205" s="704" t="s">
        <v>14</v>
      </c>
      <c r="I205" s="732"/>
      <c r="J205" s="706">
        <v>72</v>
      </c>
      <c r="K205" s="709"/>
      <c r="L205" s="708" t="s">
        <v>16</v>
      </c>
    </row>
    <row r="206" spans="1:12" ht="20.25" hidden="1">
      <c r="A206" s="731" t="s">
        <v>76</v>
      </c>
      <c r="B206" s="724" t="s">
        <v>93</v>
      </c>
      <c r="C206" s="725" t="s">
        <v>55</v>
      </c>
      <c r="D206" s="725" t="s">
        <v>84</v>
      </c>
      <c r="E206" s="726">
        <v>1.5</v>
      </c>
      <c r="F206" s="702" t="s">
        <v>19</v>
      </c>
      <c r="G206" s="828">
        <f>ROUND('r.ocynk zacisk'!M12,2)</f>
        <v>67.8</v>
      </c>
      <c r="H206" s="704" t="s">
        <v>14</v>
      </c>
      <c r="I206" s="732"/>
      <c r="J206" s="706">
        <v>80</v>
      </c>
      <c r="K206" s="709"/>
      <c r="L206" s="708" t="s">
        <v>16</v>
      </c>
    </row>
    <row r="207" spans="1:12" ht="20.25" hidden="1">
      <c r="A207" s="731" t="s">
        <v>76</v>
      </c>
      <c r="B207" s="724" t="s">
        <v>93</v>
      </c>
      <c r="C207" s="725" t="s">
        <v>57</v>
      </c>
      <c r="D207" s="846" t="s">
        <v>31</v>
      </c>
      <c r="E207" s="726">
        <v>2</v>
      </c>
      <c r="F207" s="702" t="s">
        <v>19</v>
      </c>
      <c r="G207" s="828">
        <f>ROUND('r.ocynk zacisk'!M13,2)</f>
        <v>76.75</v>
      </c>
      <c r="H207" s="704" t="s">
        <v>14</v>
      </c>
      <c r="I207" s="732"/>
      <c r="J207" s="706">
        <v>82</v>
      </c>
      <c r="K207" s="709"/>
      <c r="L207" s="708" t="s">
        <v>16</v>
      </c>
    </row>
    <row r="208" spans="1:12" hidden="1">
      <c r="A208" s="731" t="s">
        <v>76</v>
      </c>
      <c r="B208" s="724" t="s">
        <v>93</v>
      </c>
      <c r="C208" s="725" t="s">
        <v>59</v>
      </c>
      <c r="D208" s="844" t="s">
        <v>95</v>
      </c>
      <c r="E208" s="726" t="s">
        <v>34</v>
      </c>
      <c r="F208" s="702" t="s">
        <v>19</v>
      </c>
      <c r="G208" s="828">
        <f>ROUND('r.ocynk zacisk'!M14,2)</f>
        <v>193.62</v>
      </c>
      <c r="H208" s="704" t="s">
        <v>14</v>
      </c>
      <c r="I208" s="732"/>
      <c r="J208" s="706">
        <v>93</v>
      </c>
      <c r="K208" s="709"/>
      <c r="L208" s="708" t="s">
        <v>16</v>
      </c>
    </row>
    <row r="209" spans="1:12" hidden="1">
      <c r="A209" s="731" t="s">
        <v>76</v>
      </c>
      <c r="B209" s="724" t="s">
        <v>93</v>
      </c>
      <c r="C209" s="725" t="s">
        <v>59</v>
      </c>
      <c r="D209" s="844" t="s">
        <v>96</v>
      </c>
      <c r="E209" s="726" t="s">
        <v>34</v>
      </c>
      <c r="F209" s="702" t="s">
        <v>19</v>
      </c>
      <c r="G209" s="828">
        <f>ROUND('r.ocynk zacisk'!M15,2)</f>
        <v>244.83</v>
      </c>
      <c r="H209" s="704" t="s">
        <v>14</v>
      </c>
      <c r="I209" s="732"/>
      <c r="J209" s="706">
        <v>93</v>
      </c>
      <c r="K209" s="709"/>
      <c r="L209" s="708" t="s">
        <v>16</v>
      </c>
    </row>
    <row r="210" spans="1:12" ht="20.25" hidden="1">
      <c r="A210" s="731" t="s">
        <v>76</v>
      </c>
      <c r="B210" s="724" t="s">
        <v>93</v>
      </c>
      <c r="C210" s="725" t="s">
        <v>60</v>
      </c>
      <c r="D210" s="725" t="s">
        <v>61</v>
      </c>
      <c r="E210" s="726">
        <v>3</v>
      </c>
      <c r="F210" s="702" t="s">
        <v>19</v>
      </c>
      <c r="G210" s="828">
        <f>ROUND('r.ocynk zacisk'!M16,2)</f>
        <v>285.11</v>
      </c>
      <c r="H210" s="704" t="s">
        <v>14</v>
      </c>
      <c r="I210" s="732"/>
      <c r="J210" s="706">
        <v>105</v>
      </c>
      <c r="K210" s="709"/>
      <c r="L210" s="708" t="s">
        <v>16</v>
      </c>
    </row>
    <row r="211" spans="1:12" ht="20.25" hidden="1">
      <c r="A211" s="731" t="s">
        <v>76</v>
      </c>
      <c r="B211" s="724" t="s">
        <v>93</v>
      </c>
      <c r="C211" s="725" t="s">
        <v>62</v>
      </c>
      <c r="D211" s="844" t="s">
        <v>37</v>
      </c>
      <c r="E211" s="726">
        <v>4</v>
      </c>
      <c r="F211" s="702" t="s">
        <v>19</v>
      </c>
      <c r="G211" s="828">
        <f>ROUND('r.ocynk zacisk'!M17,2)</f>
        <v>310.8</v>
      </c>
      <c r="H211" s="704" t="s">
        <v>14</v>
      </c>
      <c r="I211" s="732"/>
      <c r="J211" s="706">
        <v>120</v>
      </c>
      <c r="K211" s="709"/>
      <c r="L211" s="708" t="s">
        <v>16</v>
      </c>
    </row>
    <row r="212" spans="1:12" ht="20.25" hidden="1">
      <c r="A212" s="731" t="s">
        <v>76</v>
      </c>
      <c r="B212" s="722"/>
      <c r="C212" s="691"/>
      <c r="D212" s="691"/>
      <c r="E212" s="692"/>
      <c r="F212" s="693"/>
      <c r="G212" s="723"/>
      <c r="H212" s="695"/>
      <c r="I212" s="691"/>
      <c r="J212" s="690"/>
      <c r="K212" s="709"/>
      <c r="L212" s="708" t="s">
        <v>16</v>
      </c>
    </row>
    <row r="213" spans="1:12" ht="20.25" hidden="1">
      <c r="A213" s="731" t="s">
        <v>97</v>
      </c>
      <c r="B213" s="724" t="s">
        <v>98</v>
      </c>
      <c r="C213" s="734" t="s">
        <v>47</v>
      </c>
      <c r="D213" s="734" t="s">
        <v>99</v>
      </c>
      <c r="E213" s="735" t="s">
        <v>22</v>
      </c>
      <c r="F213" s="736" t="s">
        <v>100</v>
      </c>
      <c r="G213" s="828">
        <f>ROUND(armatura!F3,2)</f>
        <v>25.34</v>
      </c>
      <c r="H213" s="704" t="s">
        <v>101</v>
      </c>
      <c r="I213" s="737" t="s">
        <v>102</v>
      </c>
      <c r="J213" s="738">
        <v>25</v>
      </c>
      <c r="K213" s="709"/>
      <c r="L213" s="708" t="s">
        <v>103</v>
      </c>
    </row>
    <row r="214" spans="1:12" ht="20.25" hidden="1">
      <c r="A214" s="731" t="s">
        <v>97</v>
      </c>
      <c r="B214" s="724" t="s">
        <v>98</v>
      </c>
      <c r="C214" s="734" t="s">
        <v>49</v>
      </c>
      <c r="D214" s="734" t="s">
        <v>104</v>
      </c>
      <c r="E214" s="735" t="s">
        <v>24</v>
      </c>
      <c r="F214" s="736" t="s">
        <v>100</v>
      </c>
      <c r="G214" s="828">
        <f>ROUND(armatura!F4,2)</f>
        <v>38.36</v>
      </c>
      <c r="H214" s="704" t="s">
        <v>101</v>
      </c>
      <c r="I214" s="737" t="s">
        <v>102</v>
      </c>
      <c r="J214" s="738">
        <v>30</v>
      </c>
      <c r="K214" s="709"/>
      <c r="L214" s="708" t="s">
        <v>103</v>
      </c>
    </row>
    <row r="215" spans="1:12" ht="20.25" hidden="1">
      <c r="A215" s="731" t="s">
        <v>97</v>
      </c>
      <c r="B215" s="724" t="s">
        <v>98</v>
      </c>
      <c r="C215" s="734" t="s">
        <v>51</v>
      </c>
      <c r="D215" s="734" t="s">
        <v>105</v>
      </c>
      <c r="E215" s="735" t="s">
        <v>26</v>
      </c>
      <c r="F215" s="736" t="s">
        <v>100</v>
      </c>
      <c r="G215" s="828">
        <f>ROUND(armatura!F5,2)</f>
        <v>58.94</v>
      </c>
      <c r="H215" s="704" t="s">
        <v>101</v>
      </c>
      <c r="I215" s="737" t="s">
        <v>102</v>
      </c>
      <c r="J215" s="738">
        <v>35</v>
      </c>
      <c r="K215" s="709"/>
      <c r="L215" s="708" t="s">
        <v>103</v>
      </c>
    </row>
    <row r="216" spans="1:12" ht="20.25" hidden="1">
      <c r="A216" s="731" t="s">
        <v>97</v>
      </c>
      <c r="B216" s="724" t="s">
        <v>98</v>
      </c>
      <c r="C216" s="734" t="s">
        <v>53</v>
      </c>
      <c r="D216" s="734" t="s">
        <v>106</v>
      </c>
      <c r="E216" s="735" t="s">
        <v>28</v>
      </c>
      <c r="F216" s="736" t="s">
        <v>100</v>
      </c>
      <c r="G216" s="828">
        <f>ROUND(armatura!F6,2)</f>
        <v>99.4</v>
      </c>
      <c r="H216" s="704" t="s">
        <v>101</v>
      </c>
      <c r="I216" s="737" t="s">
        <v>102</v>
      </c>
      <c r="J216" s="738">
        <v>50</v>
      </c>
      <c r="K216" s="709"/>
      <c r="L216" s="708" t="s">
        <v>103</v>
      </c>
    </row>
    <row r="217" spans="1:12" ht="20.25" hidden="1">
      <c r="A217" s="731" t="s">
        <v>97</v>
      </c>
      <c r="B217" s="724" t="s">
        <v>98</v>
      </c>
      <c r="C217" s="734" t="s">
        <v>55</v>
      </c>
      <c r="D217" s="734" t="s">
        <v>107</v>
      </c>
      <c r="E217" s="735" t="s">
        <v>30</v>
      </c>
      <c r="F217" s="736" t="s">
        <v>100</v>
      </c>
      <c r="G217" s="828">
        <f>ROUND(armatura!F7,2)</f>
        <v>148.4</v>
      </c>
      <c r="H217" s="704" t="s">
        <v>101</v>
      </c>
      <c r="I217" s="737" t="s">
        <v>102</v>
      </c>
      <c r="J217" s="738">
        <v>55</v>
      </c>
      <c r="K217" s="709"/>
      <c r="L217" s="708" t="s">
        <v>103</v>
      </c>
    </row>
    <row r="218" spans="1:12" ht="20.25" hidden="1">
      <c r="A218" s="731" t="s">
        <v>97</v>
      </c>
      <c r="B218" s="724" t="s">
        <v>98</v>
      </c>
      <c r="C218" s="734" t="s">
        <v>57</v>
      </c>
      <c r="D218" s="734" t="s">
        <v>31</v>
      </c>
      <c r="E218" s="735" t="s">
        <v>32</v>
      </c>
      <c r="F218" s="736" t="s">
        <v>100</v>
      </c>
      <c r="G218" s="828">
        <f>ROUND(armatura!F8,2)</f>
        <v>230.3</v>
      </c>
      <c r="H218" s="704" t="s">
        <v>101</v>
      </c>
      <c r="I218" s="737" t="s">
        <v>102</v>
      </c>
      <c r="J218" s="738">
        <v>75</v>
      </c>
      <c r="K218" s="709"/>
      <c r="L218" s="708" t="s">
        <v>103</v>
      </c>
    </row>
    <row r="219" spans="1:12" ht="20.25" hidden="1">
      <c r="A219" s="731" t="s">
        <v>97</v>
      </c>
      <c r="B219" s="722"/>
      <c r="C219" s="739"/>
      <c r="D219" s="739"/>
      <c r="E219" s="740"/>
      <c r="F219" s="741"/>
      <c r="G219" s="830"/>
      <c r="H219" s="742"/>
      <c r="I219" s="739"/>
      <c r="J219" s="690"/>
      <c r="K219" s="709"/>
      <c r="L219" s="708" t="s">
        <v>16</v>
      </c>
    </row>
    <row r="220" spans="1:12" ht="20.25" hidden="1">
      <c r="A220" s="731" t="s">
        <v>97</v>
      </c>
      <c r="B220" s="724" t="s">
        <v>98</v>
      </c>
      <c r="C220" s="743" t="s">
        <v>47</v>
      </c>
      <c r="D220" s="743" t="s">
        <v>99</v>
      </c>
      <c r="E220" s="735" t="s">
        <v>22</v>
      </c>
      <c r="F220" s="736" t="s">
        <v>100</v>
      </c>
      <c r="G220" s="828">
        <f>ROUND(armatura!F10,2)</f>
        <v>41.34</v>
      </c>
      <c r="H220" s="704" t="s">
        <v>108</v>
      </c>
      <c r="I220" s="737" t="s">
        <v>109</v>
      </c>
      <c r="J220" s="738">
        <f t="shared" ref="J220:J225" si="16">J213</f>
        <v>25</v>
      </c>
      <c r="K220" s="709"/>
      <c r="L220" s="708" t="s">
        <v>103</v>
      </c>
    </row>
    <row r="221" spans="1:12" ht="20.25" hidden="1">
      <c r="A221" s="731" t="s">
        <v>97</v>
      </c>
      <c r="B221" s="724" t="s">
        <v>98</v>
      </c>
      <c r="C221" s="743" t="s">
        <v>49</v>
      </c>
      <c r="D221" s="743" t="s">
        <v>104</v>
      </c>
      <c r="E221" s="735" t="s">
        <v>24</v>
      </c>
      <c r="F221" s="736" t="s">
        <v>100</v>
      </c>
      <c r="G221" s="828">
        <f>ROUND(armatura!F11,2)</f>
        <v>58.02</v>
      </c>
      <c r="H221" s="704" t="s">
        <v>108</v>
      </c>
      <c r="I221" s="737" t="s">
        <v>109</v>
      </c>
      <c r="J221" s="738">
        <f t="shared" si="16"/>
        <v>30</v>
      </c>
      <c r="K221" s="709"/>
      <c r="L221" s="708" t="s">
        <v>103</v>
      </c>
    </row>
    <row r="222" spans="1:12" ht="20.25" hidden="1">
      <c r="A222" s="731" t="s">
        <v>97</v>
      </c>
      <c r="B222" s="724" t="s">
        <v>98</v>
      </c>
      <c r="C222" s="743" t="s">
        <v>51</v>
      </c>
      <c r="D222" s="743" t="s">
        <v>105</v>
      </c>
      <c r="E222" s="735" t="s">
        <v>26</v>
      </c>
      <c r="F222" s="736" t="s">
        <v>100</v>
      </c>
      <c r="G222" s="828">
        <f>ROUND(armatura!F12,2)</f>
        <v>95.4</v>
      </c>
      <c r="H222" s="704" t="s">
        <v>108</v>
      </c>
      <c r="I222" s="737" t="s">
        <v>109</v>
      </c>
      <c r="J222" s="738">
        <f t="shared" si="16"/>
        <v>35</v>
      </c>
      <c r="K222" s="709"/>
      <c r="L222" s="708" t="s">
        <v>103</v>
      </c>
    </row>
    <row r="223" spans="1:12" ht="20.25" hidden="1">
      <c r="A223" s="731" t="s">
        <v>97</v>
      </c>
      <c r="B223" s="724" t="s">
        <v>98</v>
      </c>
      <c r="C223" s="743" t="s">
        <v>53</v>
      </c>
      <c r="D223" s="743" t="s">
        <v>106</v>
      </c>
      <c r="E223" s="735" t="s">
        <v>28</v>
      </c>
      <c r="F223" s="736" t="s">
        <v>100</v>
      </c>
      <c r="G223" s="828">
        <f>ROUND(armatura!F13,2)</f>
        <v>151.80000000000001</v>
      </c>
      <c r="H223" s="704" t="s">
        <v>108</v>
      </c>
      <c r="I223" s="737" t="s">
        <v>109</v>
      </c>
      <c r="J223" s="738">
        <f t="shared" si="16"/>
        <v>50</v>
      </c>
      <c r="K223" s="709"/>
      <c r="L223" s="708" t="s">
        <v>103</v>
      </c>
    </row>
    <row r="224" spans="1:12" ht="20.25" hidden="1">
      <c r="A224" s="731" t="s">
        <v>97</v>
      </c>
      <c r="B224" s="724" t="s">
        <v>98</v>
      </c>
      <c r="C224" s="743" t="s">
        <v>55</v>
      </c>
      <c r="D224" s="743" t="s">
        <v>107</v>
      </c>
      <c r="E224" s="735" t="s">
        <v>30</v>
      </c>
      <c r="F224" s="736" t="s">
        <v>100</v>
      </c>
      <c r="G224" s="828">
        <f>ROUND(armatura!F14,2)</f>
        <v>222</v>
      </c>
      <c r="H224" s="704" t="s">
        <v>108</v>
      </c>
      <c r="I224" s="737" t="s">
        <v>109</v>
      </c>
      <c r="J224" s="738">
        <f t="shared" si="16"/>
        <v>55</v>
      </c>
      <c r="K224" s="709"/>
      <c r="L224" s="708" t="s">
        <v>103</v>
      </c>
    </row>
    <row r="225" spans="1:12" ht="20.25" hidden="1">
      <c r="A225" s="731" t="s">
        <v>97</v>
      </c>
      <c r="B225" s="724" t="s">
        <v>98</v>
      </c>
      <c r="C225" s="743" t="s">
        <v>57</v>
      </c>
      <c r="D225" s="743" t="s">
        <v>31</v>
      </c>
      <c r="E225" s="735" t="s">
        <v>32</v>
      </c>
      <c r="F225" s="736" t="s">
        <v>100</v>
      </c>
      <c r="G225" s="828">
        <f>ROUND(armatura!F15,2)</f>
        <v>330.6</v>
      </c>
      <c r="H225" s="704" t="s">
        <v>108</v>
      </c>
      <c r="I225" s="737" t="s">
        <v>109</v>
      </c>
      <c r="J225" s="738">
        <f t="shared" si="16"/>
        <v>75</v>
      </c>
      <c r="K225" s="709"/>
      <c r="L225" s="708" t="s">
        <v>103</v>
      </c>
    </row>
    <row r="226" spans="1:12" ht="20.25" hidden="1">
      <c r="A226" s="731" t="s">
        <v>97</v>
      </c>
      <c r="B226" s="722"/>
      <c r="C226" s="739"/>
      <c r="D226" s="739"/>
      <c r="E226" s="740"/>
      <c r="F226" s="741"/>
      <c r="G226" s="830"/>
      <c r="H226" s="742"/>
      <c r="I226" s="739"/>
      <c r="J226" s="690"/>
      <c r="K226" s="709"/>
      <c r="L226" s="708" t="s">
        <v>16</v>
      </c>
    </row>
    <row r="227" spans="1:12" ht="20.25" hidden="1">
      <c r="A227" s="731" t="s">
        <v>97</v>
      </c>
      <c r="B227" s="724" t="s">
        <v>98</v>
      </c>
      <c r="C227" s="743" t="s">
        <v>47</v>
      </c>
      <c r="D227" s="743" t="s">
        <v>99</v>
      </c>
      <c r="E227" s="735" t="s">
        <v>22</v>
      </c>
      <c r="F227" s="736" t="s">
        <v>100</v>
      </c>
      <c r="G227" s="828">
        <f>ROUND(armatura!F17,2)</f>
        <v>67.459999999999994</v>
      </c>
      <c r="H227" s="704" t="s">
        <v>110</v>
      </c>
      <c r="I227" s="737" t="s">
        <v>111</v>
      </c>
      <c r="J227" s="738">
        <f t="shared" ref="J227:J232" si="17">J220</f>
        <v>25</v>
      </c>
      <c r="K227" s="709"/>
      <c r="L227" s="708" t="s">
        <v>103</v>
      </c>
    </row>
    <row r="228" spans="1:12" ht="20.25" hidden="1">
      <c r="A228" s="731" t="s">
        <v>97</v>
      </c>
      <c r="B228" s="724" t="s">
        <v>98</v>
      </c>
      <c r="C228" s="743" t="s">
        <v>49</v>
      </c>
      <c r="D228" s="743" t="s">
        <v>104</v>
      </c>
      <c r="E228" s="735" t="s">
        <v>24</v>
      </c>
      <c r="F228" s="736" t="s">
        <v>100</v>
      </c>
      <c r="G228" s="828">
        <f>ROUND(armatura!F18,2)</f>
        <v>75.8</v>
      </c>
      <c r="H228" s="704" t="s">
        <v>110</v>
      </c>
      <c r="I228" s="737" t="s">
        <v>111</v>
      </c>
      <c r="J228" s="738">
        <f t="shared" si="17"/>
        <v>30</v>
      </c>
      <c r="K228" s="709"/>
      <c r="L228" s="708" t="s">
        <v>103</v>
      </c>
    </row>
    <row r="229" spans="1:12" ht="20.25" hidden="1">
      <c r="A229" s="731" t="s">
        <v>97</v>
      </c>
      <c r="B229" s="724" t="s">
        <v>98</v>
      </c>
      <c r="C229" s="743" t="s">
        <v>51</v>
      </c>
      <c r="D229" s="743" t="s">
        <v>105</v>
      </c>
      <c r="E229" s="735" t="s">
        <v>26</v>
      </c>
      <c r="F229" s="736" t="s">
        <v>100</v>
      </c>
      <c r="G229" s="828">
        <f>ROUND(armatura!F19,2)</f>
        <v>89.25</v>
      </c>
      <c r="H229" s="704" t="s">
        <v>110</v>
      </c>
      <c r="I229" s="737" t="s">
        <v>111</v>
      </c>
      <c r="J229" s="738">
        <f t="shared" si="17"/>
        <v>35</v>
      </c>
      <c r="K229" s="709"/>
      <c r="L229" s="708" t="s">
        <v>103</v>
      </c>
    </row>
    <row r="230" spans="1:12" ht="20.25" hidden="1">
      <c r="A230" s="731" t="s">
        <v>97</v>
      </c>
      <c r="B230" s="724" t="s">
        <v>98</v>
      </c>
      <c r="C230" s="743" t="s">
        <v>53</v>
      </c>
      <c r="D230" s="743" t="s">
        <v>106</v>
      </c>
      <c r="E230" s="735" t="s">
        <v>28</v>
      </c>
      <c r="F230" s="736" t="s">
        <v>100</v>
      </c>
      <c r="G230" s="828">
        <f>ROUND(armatura!F20,2)</f>
        <v>131.02000000000001</v>
      </c>
      <c r="H230" s="704" t="s">
        <v>110</v>
      </c>
      <c r="I230" s="737" t="s">
        <v>111</v>
      </c>
      <c r="J230" s="738">
        <f t="shared" si="17"/>
        <v>50</v>
      </c>
      <c r="K230" s="709"/>
      <c r="L230" s="708" t="s">
        <v>103</v>
      </c>
    </row>
    <row r="231" spans="1:12" ht="20.25" hidden="1">
      <c r="A231" s="731" t="s">
        <v>97</v>
      </c>
      <c r="B231" s="724" t="s">
        <v>98</v>
      </c>
      <c r="C231" s="743" t="s">
        <v>55</v>
      </c>
      <c r="D231" s="743" t="s">
        <v>107</v>
      </c>
      <c r="E231" s="735" t="s">
        <v>30</v>
      </c>
      <c r="F231" s="736" t="s">
        <v>100</v>
      </c>
      <c r="G231" s="828">
        <f>ROUND(armatura!F21,2)</f>
        <v>210.62</v>
      </c>
      <c r="H231" s="704" t="s">
        <v>110</v>
      </c>
      <c r="I231" s="737" t="s">
        <v>111</v>
      </c>
      <c r="J231" s="738">
        <f t="shared" si="17"/>
        <v>55</v>
      </c>
      <c r="K231" s="709"/>
      <c r="L231" s="708" t="s">
        <v>103</v>
      </c>
    </row>
    <row r="232" spans="1:12" ht="20.25" hidden="1">
      <c r="A232" s="731" t="s">
        <v>97</v>
      </c>
      <c r="B232" s="724" t="s">
        <v>98</v>
      </c>
      <c r="C232" s="743" t="s">
        <v>57</v>
      </c>
      <c r="D232" s="743" t="s">
        <v>31</v>
      </c>
      <c r="E232" s="735" t="s">
        <v>32</v>
      </c>
      <c r="F232" s="736" t="s">
        <v>100</v>
      </c>
      <c r="G232" s="828">
        <f>ROUND(armatura!F22,2)</f>
        <v>274.82</v>
      </c>
      <c r="H232" s="704" t="s">
        <v>110</v>
      </c>
      <c r="I232" s="737" t="s">
        <v>111</v>
      </c>
      <c r="J232" s="738">
        <f t="shared" si="17"/>
        <v>75</v>
      </c>
      <c r="K232" s="709"/>
      <c r="L232" s="708" t="s">
        <v>103</v>
      </c>
    </row>
    <row r="233" spans="1:12" ht="20.25" hidden="1">
      <c r="A233" s="731" t="s">
        <v>97</v>
      </c>
      <c r="B233" s="722"/>
      <c r="C233" s="739"/>
      <c r="D233" s="739"/>
      <c r="E233" s="740"/>
      <c r="F233" s="741"/>
      <c r="G233" s="830"/>
      <c r="H233" s="742"/>
      <c r="I233" s="739"/>
      <c r="J233" s="690"/>
      <c r="K233" s="709"/>
      <c r="L233" s="708" t="s">
        <v>16</v>
      </c>
    </row>
    <row r="234" spans="1:12" ht="20.25" hidden="1">
      <c r="A234" s="731" t="s">
        <v>97</v>
      </c>
      <c r="B234" s="724" t="s">
        <v>112</v>
      </c>
      <c r="C234" s="734" t="s">
        <v>47</v>
      </c>
      <c r="D234" s="734" t="s">
        <v>99</v>
      </c>
      <c r="E234" s="735" t="s">
        <v>22</v>
      </c>
      <c r="F234" s="736" t="s">
        <v>100</v>
      </c>
      <c r="G234" s="828">
        <f>ROUND(armatura!F24,2)</f>
        <v>157.46</v>
      </c>
      <c r="H234" s="704" t="s">
        <v>113</v>
      </c>
      <c r="I234" s="737" t="s">
        <v>114</v>
      </c>
      <c r="J234" s="738">
        <f t="shared" ref="J234:J239" si="18">J227</f>
        <v>25</v>
      </c>
      <c r="K234" s="709"/>
      <c r="L234" s="708" t="s">
        <v>103</v>
      </c>
    </row>
    <row r="235" spans="1:12" ht="20.25" hidden="1">
      <c r="A235" s="731" t="s">
        <v>97</v>
      </c>
      <c r="B235" s="724" t="s">
        <v>112</v>
      </c>
      <c r="C235" s="734" t="s">
        <v>49</v>
      </c>
      <c r="D235" s="734" t="s">
        <v>104</v>
      </c>
      <c r="E235" s="735" t="s">
        <v>24</v>
      </c>
      <c r="F235" s="736" t="s">
        <v>100</v>
      </c>
      <c r="G235" s="828">
        <f>ROUND(armatura!F25,2)</f>
        <v>203.18</v>
      </c>
      <c r="H235" s="704" t="s">
        <v>113</v>
      </c>
      <c r="I235" s="737" t="s">
        <v>114</v>
      </c>
      <c r="J235" s="738">
        <f t="shared" si="18"/>
        <v>30</v>
      </c>
      <c r="K235" s="709"/>
      <c r="L235" s="708" t="s">
        <v>103</v>
      </c>
    </row>
    <row r="236" spans="1:12" ht="20.25" hidden="1">
      <c r="A236" s="731" t="s">
        <v>97</v>
      </c>
      <c r="B236" s="724" t="s">
        <v>112</v>
      </c>
      <c r="C236" s="734" t="s">
        <v>51</v>
      </c>
      <c r="D236" s="734" t="s">
        <v>105</v>
      </c>
      <c r="E236" s="735">
        <v>1</v>
      </c>
      <c r="F236" s="736" t="s">
        <v>100</v>
      </c>
      <c r="G236" s="828">
        <f>ROUND(armatura!F26,2)</f>
        <v>248.97</v>
      </c>
      <c r="H236" s="704" t="s">
        <v>113</v>
      </c>
      <c r="I236" s="737" t="s">
        <v>114</v>
      </c>
      <c r="J236" s="738">
        <f t="shared" si="18"/>
        <v>35</v>
      </c>
      <c r="K236" s="709"/>
      <c r="L236" s="708" t="s">
        <v>103</v>
      </c>
    </row>
    <row r="237" spans="1:12" ht="20.25" hidden="1">
      <c r="A237" s="731" t="s">
        <v>97</v>
      </c>
      <c r="B237" s="724" t="s">
        <v>112</v>
      </c>
      <c r="C237" s="734" t="s">
        <v>53</v>
      </c>
      <c r="D237" s="734" t="s">
        <v>106</v>
      </c>
      <c r="E237" s="744">
        <v>1.25</v>
      </c>
      <c r="F237" s="736" t="s">
        <v>100</v>
      </c>
      <c r="G237" s="828">
        <f>ROUND(armatura!F27,2)</f>
        <v>335.25</v>
      </c>
      <c r="H237" s="704" t="s">
        <v>113</v>
      </c>
      <c r="I237" s="737" t="s">
        <v>114</v>
      </c>
      <c r="J237" s="738">
        <f t="shared" si="18"/>
        <v>50</v>
      </c>
      <c r="K237" s="709"/>
      <c r="L237" s="708" t="s">
        <v>103</v>
      </c>
    </row>
    <row r="238" spans="1:12" ht="20.25" hidden="1">
      <c r="A238" s="731" t="s">
        <v>97</v>
      </c>
      <c r="B238" s="724" t="s">
        <v>112</v>
      </c>
      <c r="C238" s="734" t="s">
        <v>55</v>
      </c>
      <c r="D238" s="734" t="s">
        <v>107</v>
      </c>
      <c r="E238" s="744">
        <v>1.5</v>
      </c>
      <c r="F238" s="736" t="s">
        <v>100</v>
      </c>
      <c r="G238" s="828">
        <f>ROUND(armatura!F28,2)</f>
        <v>446.98</v>
      </c>
      <c r="H238" s="704" t="s">
        <v>113</v>
      </c>
      <c r="I238" s="737" t="s">
        <v>114</v>
      </c>
      <c r="J238" s="738">
        <f t="shared" si="18"/>
        <v>55</v>
      </c>
      <c r="K238" s="709"/>
      <c r="L238" s="708" t="s">
        <v>103</v>
      </c>
    </row>
    <row r="239" spans="1:12" ht="20.25" hidden="1">
      <c r="A239" s="731" t="s">
        <v>97</v>
      </c>
      <c r="B239" s="724" t="s">
        <v>112</v>
      </c>
      <c r="C239" s="734" t="s">
        <v>57</v>
      </c>
      <c r="D239" s="734" t="s">
        <v>31</v>
      </c>
      <c r="E239" s="735">
        <v>2</v>
      </c>
      <c r="F239" s="736" t="s">
        <v>100</v>
      </c>
      <c r="G239" s="828">
        <f>ROUND(armatura!F29,2)</f>
        <v>619.62</v>
      </c>
      <c r="H239" s="704" t="s">
        <v>113</v>
      </c>
      <c r="I239" s="737" t="s">
        <v>114</v>
      </c>
      <c r="J239" s="738">
        <f t="shared" si="18"/>
        <v>75</v>
      </c>
      <c r="K239" s="709"/>
      <c r="L239" s="708" t="s">
        <v>103</v>
      </c>
    </row>
    <row r="240" spans="1:12" ht="20.25" hidden="1">
      <c r="A240" s="731" t="s">
        <v>97</v>
      </c>
      <c r="B240" s="722"/>
      <c r="C240" s="739"/>
      <c r="D240" s="739"/>
      <c r="E240" s="740"/>
      <c r="F240" s="741"/>
      <c r="G240" s="830"/>
      <c r="H240" s="742"/>
      <c r="I240" s="739"/>
      <c r="J240" s="690"/>
      <c r="K240" s="709"/>
      <c r="L240" s="708" t="s">
        <v>16</v>
      </c>
    </row>
    <row r="241" spans="1:12" ht="20.25" hidden="1">
      <c r="A241" s="731" t="s">
        <v>97</v>
      </c>
      <c r="B241" s="724" t="s">
        <v>112</v>
      </c>
      <c r="C241" s="734" t="s">
        <v>47</v>
      </c>
      <c r="D241" s="734" t="s">
        <v>99</v>
      </c>
      <c r="E241" s="735" t="s">
        <v>22</v>
      </c>
      <c r="F241" s="736" t="s">
        <v>100</v>
      </c>
      <c r="G241" s="828">
        <f>ROUND(armatura!F31,2)</f>
        <v>111.74</v>
      </c>
      <c r="H241" s="704" t="s">
        <v>113</v>
      </c>
      <c r="I241" s="737" t="s">
        <v>115</v>
      </c>
      <c r="J241" s="738">
        <f t="shared" ref="J241:J246" si="19">J234</f>
        <v>25</v>
      </c>
      <c r="K241" s="709"/>
      <c r="L241" s="708" t="s">
        <v>103</v>
      </c>
    </row>
    <row r="242" spans="1:12" ht="20.25" hidden="1">
      <c r="A242" s="731" t="s">
        <v>97</v>
      </c>
      <c r="B242" s="724" t="s">
        <v>112</v>
      </c>
      <c r="C242" s="734" t="s">
        <v>49</v>
      </c>
      <c r="D242" s="734" t="s">
        <v>104</v>
      </c>
      <c r="E242" s="735" t="s">
        <v>24</v>
      </c>
      <c r="F242" s="736" t="s">
        <v>100</v>
      </c>
      <c r="G242" s="828">
        <f>ROUND(armatura!F32,2)</f>
        <v>127.12</v>
      </c>
      <c r="H242" s="704" t="s">
        <v>113</v>
      </c>
      <c r="I242" s="737" t="s">
        <v>115</v>
      </c>
      <c r="J242" s="738">
        <f t="shared" si="19"/>
        <v>30</v>
      </c>
      <c r="K242" s="709"/>
      <c r="L242" s="708" t="s">
        <v>103</v>
      </c>
    </row>
    <row r="243" spans="1:12" ht="20.25" hidden="1">
      <c r="A243" s="731" t="s">
        <v>97</v>
      </c>
      <c r="B243" s="724" t="s">
        <v>112</v>
      </c>
      <c r="C243" s="734" t="s">
        <v>51</v>
      </c>
      <c r="D243" s="734" t="s">
        <v>105</v>
      </c>
      <c r="E243" s="735">
        <v>1</v>
      </c>
      <c r="F243" s="736" t="s">
        <v>100</v>
      </c>
      <c r="G243" s="828">
        <f>ROUND(armatura!F33,2)</f>
        <v>172.72</v>
      </c>
      <c r="H243" s="704" t="s">
        <v>113</v>
      </c>
      <c r="I243" s="737" t="s">
        <v>115</v>
      </c>
      <c r="J243" s="738">
        <f t="shared" si="19"/>
        <v>35</v>
      </c>
      <c r="K243" s="709"/>
      <c r="L243" s="708" t="s">
        <v>103</v>
      </c>
    </row>
    <row r="244" spans="1:12" ht="20.25" hidden="1">
      <c r="A244" s="731" t="s">
        <v>97</v>
      </c>
      <c r="B244" s="724" t="s">
        <v>112</v>
      </c>
      <c r="C244" s="734" t="s">
        <v>53</v>
      </c>
      <c r="D244" s="734" t="s">
        <v>106</v>
      </c>
      <c r="E244" s="744">
        <v>1.25</v>
      </c>
      <c r="F244" s="736" t="s">
        <v>100</v>
      </c>
      <c r="G244" s="828">
        <f>ROUND(armatura!F34,2)</f>
        <v>243.82</v>
      </c>
      <c r="H244" s="704" t="s">
        <v>113</v>
      </c>
      <c r="I244" s="737" t="s">
        <v>115</v>
      </c>
      <c r="J244" s="738">
        <f t="shared" si="19"/>
        <v>50</v>
      </c>
      <c r="K244" s="709"/>
      <c r="L244" s="708" t="s">
        <v>103</v>
      </c>
    </row>
    <row r="245" spans="1:12" ht="20.25" hidden="1">
      <c r="A245" s="731" t="s">
        <v>97</v>
      </c>
      <c r="B245" s="724" t="s">
        <v>112</v>
      </c>
      <c r="C245" s="734" t="s">
        <v>55</v>
      </c>
      <c r="D245" s="734" t="s">
        <v>107</v>
      </c>
      <c r="E245" s="744">
        <v>1.5</v>
      </c>
      <c r="F245" s="736" t="s">
        <v>100</v>
      </c>
      <c r="G245" s="828">
        <f>ROUND(armatura!F35,2)</f>
        <v>294.55</v>
      </c>
      <c r="H245" s="704" t="s">
        <v>113</v>
      </c>
      <c r="I245" s="737" t="s">
        <v>115</v>
      </c>
      <c r="J245" s="738">
        <f t="shared" si="19"/>
        <v>55</v>
      </c>
      <c r="K245" s="709"/>
      <c r="L245" s="708" t="s">
        <v>103</v>
      </c>
    </row>
    <row r="246" spans="1:12" ht="20.25" hidden="1">
      <c r="A246" s="731" t="s">
        <v>97</v>
      </c>
      <c r="B246" s="724" t="s">
        <v>112</v>
      </c>
      <c r="C246" s="734" t="s">
        <v>57</v>
      </c>
      <c r="D246" s="734" t="s">
        <v>31</v>
      </c>
      <c r="E246" s="735">
        <v>2</v>
      </c>
      <c r="F246" s="736" t="s">
        <v>100</v>
      </c>
      <c r="G246" s="828">
        <f>ROUND(armatura!F36,2)</f>
        <v>406.35</v>
      </c>
      <c r="H246" s="704" t="s">
        <v>113</v>
      </c>
      <c r="I246" s="737" t="s">
        <v>115</v>
      </c>
      <c r="J246" s="738">
        <f t="shared" si="19"/>
        <v>75</v>
      </c>
      <c r="K246" s="709"/>
      <c r="L246" s="708" t="s">
        <v>103</v>
      </c>
    </row>
    <row r="247" spans="1:12" hidden="1">
      <c r="A247" s="689"/>
      <c r="B247" s="745" t="s">
        <v>116</v>
      </c>
      <c r="C247" s="745"/>
      <c r="D247" s="745"/>
      <c r="E247" s="746"/>
      <c r="F247" s="693"/>
      <c r="G247" s="829"/>
      <c r="H247" s="695" t="s">
        <v>113</v>
      </c>
      <c r="I247" s="711" t="s">
        <v>117</v>
      </c>
      <c r="J247" s="690"/>
      <c r="K247" s="709"/>
      <c r="L247" s="708" t="s">
        <v>16</v>
      </c>
    </row>
    <row r="248" spans="1:12" hidden="1">
      <c r="A248" s="689" t="s">
        <v>118</v>
      </c>
      <c r="B248" s="724" t="s">
        <v>116</v>
      </c>
      <c r="C248" s="734" t="s">
        <v>47</v>
      </c>
      <c r="D248" s="734" t="s">
        <v>99</v>
      </c>
      <c r="E248" s="744" t="s">
        <v>22</v>
      </c>
      <c r="F248" s="736" t="s">
        <v>100</v>
      </c>
      <c r="G248" s="828">
        <f>ROUND(armatura!F38,2)</f>
        <v>1565.01</v>
      </c>
      <c r="H248" s="704" t="s">
        <v>113</v>
      </c>
      <c r="I248" s="737" t="s">
        <v>117</v>
      </c>
      <c r="J248" s="738">
        <f t="shared" ref="J248:J253" si="20">J241</f>
        <v>25</v>
      </c>
      <c r="K248" s="709"/>
      <c r="L248" s="708" t="s">
        <v>103</v>
      </c>
    </row>
    <row r="249" spans="1:12" hidden="1">
      <c r="A249" s="689" t="s">
        <v>118</v>
      </c>
      <c r="B249" s="724" t="s">
        <v>116</v>
      </c>
      <c r="C249" s="734" t="s">
        <v>49</v>
      </c>
      <c r="D249" s="734" t="s">
        <v>104</v>
      </c>
      <c r="E249" s="744" t="s">
        <v>24</v>
      </c>
      <c r="F249" s="736" t="s">
        <v>100</v>
      </c>
      <c r="G249" s="828">
        <f>ROUND(armatura!F39,2)</f>
        <v>1647.37</v>
      </c>
      <c r="H249" s="704" t="s">
        <v>113</v>
      </c>
      <c r="I249" s="737" t="s">
        <v>117</v>
      </c>
      <c r="J249" s="738">
        <f t="shared" si="20"/>
        <v>30</v>
      </c>
      <c r="K249" s="709"/>
      <c r="L249" s="708" t="s">
        <v>103</v>
      </c>
    </row>
    <row r="250" spans="1:12" hidden="1">
      <c r="A250" s="689" t="s">
        <v>118</v>
      </c>
      <c r="B250" s="724" t="s">
        <v>116</v>
      </c>
      <c r="C250" s="734" t="s">
        <v>51</v>
      </c>
      <c r="D250" s="734" t="s">
        <v>105</v>
      </c>
      <c r="E250" s="744">
        <v>1</v>
      </c>
      <c r="F250" s="736" t="s">
        <v>100</v>
      </c>
      <c r="G250" s="828">
        <f>ROUND(armatura!F40,2)</f>
        <v>2040.49</v>
      </c>
      <c r="H250" s="704" t="s">
        <v>113</v>
      </c>
      <c r="I250" s="737" t="s">
        <v>117</v>
      </c>
      <c r="J250" s="738">
        <f t="shared" si="20"/>
        <v>35</v>
      </c>
      <c r="K250" s="709"/>
      <c r="L250" s="708" t="s">
        <v>103</v>
      </c>
    </row>
    <row r="251" spans="1:12" hidden="1">
      <c r="A251" s="689" t="s">
        <v>118</v>
      </c>
      <c r="B251" s="724" t="s">
        <v>116</v>
      </c>
      <c r="C251" s="734" t="s">
        <v>53</v>
      </c>
      <c r="D251" s="734" t="s">
        <v>106</v>
      </c>
      <c r="E251" s="744">
        <v>1.25</v>
      </c>
      <c r="F251" s="736" t="s">
        <v>100</v>
      </c>
      <c r="G251" s="828">
        <f>ROUND(armatura!F41,2)</f>
        <v>2515.77</v>
      </c>
      <c r="H251" s="704" t="s">
        <v>113</v>
      </c>
      <c r="I251" s="737" t="s">
        <v>117</v>
      </c>
      <c r="J251" s="738">
        <f t="shared" si="20"/>
        <v>50</v>
      </c>
      <c r="K251" s="709"/>
      <c r="L251" s="708" t="s">
        <v>103</v>
      </c>
    </row>
    <row r="252" spans="1:12" hidden="1">
      <c r="A252" s="689" t="s">
        <v>118</v>
      </c>
      <c r="B252" s="724" t="s">
        <v>116</v>
      </c>
      <c r="C252" s="734" t="s">
        <v>55</v>
      </c>
      <c r="D252" s="734" t="s">
        <v>107</v>
      </c>
      <c r="E252" s="744">
        <v>1.5</v>
      </c>
      <c r="F252" s="736" t="s">
        <v>100</v>
      </c>
      <c r="G252" s="828">
        <f>ROUND(armatura!F42,2)</f>
        <v>4339.99</v>
      </c>
      <c r="H252" s="704" t="s">
        <v>113</v>
      </c>
      <c r="I252" s="737" t="s">
        <v>117</v>
      </c>
      <c r="J252" s="738">
        <f t="shared" si="20"/>
        <v>55</v>
      </c>
      <c r="K252" s="709"/>
      <c r="L252" s="708" t="s">
        <v>103</v>
      </c>
    </row>
    <row r="253" spans="1:12" hidden="1">
      <c r="A253" s="689" t="s">
        <v>118</v>
      </c>
      <c r="B253" s="724" t="s">
        <v>116</v>
      </c>
      <c r="C253" s="734" t="s">
        <v>57</v>
      </c>
      <c r="D253" s="734" t="s">
        <v>31</v>
      </c>
      <c r="E253" s="744">
        <v>2</v>
      </c>
      <c r="F253" s="736" t="s">
        <v>100</v>
      </c>
      <c r="G253" s="828">
        <f>ROUND(armatura!F43,2)</f>
        <v>4557.2299999999996</v>
      </c>
      <c r="H253" s="704" t="s">
        <v>113</v>
      </c>
      <c r="I253" s="737" t="s">
        <v>117</v>
      </c>
      <c r="J253" s="738">
        <f t="shared" si="20"/>
        <v>75</v>
      </c>
      <c r="K253" s="709"/>
      <c r="L253" s="708" t="s">
        <v>103</v>
      </c>
    </row>
    <row r="254" spans="1:12" hidden="1">
      <c r="A254" s="689" t="s">
        <v>118</v>
      </c>
      <c r="B254" s="724" t="s">
        <v>116</v>
      </c>
      <c r="C254" s="734" t="s">
        <v>59</v>
      </c>
      <c r="D254" s="844" t="s">
        <v>33</v>
      </c>
      <c r="E254" s="845" t="s">
        <v>34</v>
      </c>
      <c r="F254" s="736" t="s">
        <v>100</v>
      </c>
      <c r="G254" s="828">
        <f>ROUND(armatura!F44,2)</f>
        <v>9611.11</v>
      </c>
      <c r="H254" s="704" t="s">
        <v>113</v>
      </c>
      <c r="I254" s="737" t="s">
        <v>117</v>
      </c>
      <c r="J254" s="738">
        <v>120</v>
      </c>
      <c r="K254" s="747" t="s">
        <v>119</v>
      </c>
      <c r="L254" s="708" t="s">
        <v>103</v>
      </c>
    </row>
    <row r="255" spans="1:12" hidden="1">
      <c r="A255" s="689" t="s">
        <v>118</v>
      </c>
      <c r="B255" s="724" t="s">
        <v>116</v>
      </c>
      <c r="C255" s="734" t="s">
        <v>60</v>
      </c>
      <c r="D255" s="700" t="s">
        <v>35</v>
      </c>
      <c r="E255" s="744"/>
      <c r="F255" s="736" t="s">
        <v>100</v>
      </c>
      <c r="G255" s="828">
        <f>ROUND(armatura!F45,2)</f>
        <v>10177.66</v>
      </c>
      <c r="H255" s="704" t="s">
        <v>113</v>
      </c>
      <c r="I255" s="737" t="s">
        <v>117</v>
      </c>
      <c r="J255" s="738">
        <v>150</v>
      </c>
      <c r="K255" s="709"/>
      <c r="L255" s="708" t="s">
        <v>103</v>
      </c>
    </row>
    <row r="256" spans="1:12" hidden="1">
      <c r="A256" s="689" t="s">
        <v>118</v>
      </c>
      <c r="B256" s="724" t="s">
        <v>116</v>
      </c>
      <c r="C256" s="734" t="s">
        <v>62</v>
      </c>
      <c r="D256" s="844" t="s">
        <v>37</v>
      </c>
      <c r="E256" s="845">
        <v>4</v>
      </c>
      <c r="F256" s="736" t="s">
        <v>100</v>
      </c>
      <c r="G256" s="828">
        <f>ROUND(armatura!F46,2)</f>
        <v>16965.900000000001</v>
      </c>
      <c r="H256" s="704" t="s">
        <v>113</v>
      </c>
      <c r="I256" s="737" t="s">
        <v>117</v>
      </c>
      <c r="J256" s="738">
        <v>162</v>
      </c>
      <c r="K256" s="709"/>
      <c r="L256" s="708" t="s">
        <v>103</v>
      </c>
    </row>
    <row r="257" spans="1:12" hidden="1">
      <c r="A257" s="689" t="s">
        <v>118</v>
      </c>
      <c r="B257" s="724" t="s">
        <v>116</v>
      </c>
      <c r="C257" s="734" t="s">
        <v>66</v>
      </c>
      <c r="D257" s="734" t="s">
        <v>120</v>
      </c>
      <c r="E257" s="744"/>
      <c r="F257" s="736" t="s">
        <v>100</v>
      </c>
      <c r="G257" s="828">
        <f>ROUND(armatura!F47,2)</f>
        <v>25541.68</v>
      </c>
      <c r="H257" s="704" t="s">
        <v>113</v>
      </c>
      <c r="I257" s="737" t="s">
        <v>117</v>
      </c>
      <c r="J257" s="738">
        <v>200</v>
      </c>
      <c r="K257" s="709"/>
      <c r="L257" s="708" t="s">
        <v>103</v>
      </c>
    </row>
    <row r="258" spans="1:12" hidden="1">
      <c r="A258" s="689" t="s">
        <v>118</v>
      </c>
      <c r="B258" s="724" t="s">
        <v>116</v>
      </c>
      <c r="C258" s="734" t="s">
        <v>121</v>
      </c>
      <c r="D258" s="734"/>
      <c r="E258" s="744"/>
      <c r="F258" s="736" t="s">
        <v>100</v>
      </c>
      <c r="G258" s="828">
        <f>ROUND(armatura!F48,2)</f>
        <v>43953.27</v>
      </c>
      <c r="H258" s="704" t="s">
        <v>113</v>
      </c>
      <c r="I258" s="737" t="s">
        <v>117</v>
      </c>
      <c r="J258" s="738">
        <v>250</v>
      </c>
      <c r="K258" s="709"/>
      <c r="L258" s="708" t="s">
        <v>103</v>
      </c>
    </row>
    <row r="259" spans="1:12" hidden="1">
      <c r="A259" s="689" t="s">
        <v>118</v>
      </c>
      <c r="B259" s="724" t="s">
        <v>116</v>
      </c>
      <c r="C259" s="734" t="s">
        <v>122</v>
      </c>
      <c r="D259" s="734"/>
      <c r="E259" s="744"/>
      <c r="F259" s="736" t="s">
        <v>100</v>
      </c>
      <c r="G259" s="828">
        <f>ROUND(armatura!F49,2)</f>
        <v>60866.32</v>
      </c>
      <c r="H259" s="704" t="s">
        <v>113</v>
      </c>
      <c r="I259" s="737" t="s">
        <v>117</v>
      </c>
      <c r="J259" s="738">
        <v>325</v>
      </c>
      <c r="K259" s="709"/>
      <c r="L259" s="708" t="s">
        <v>103</v>
      </c>
    </row>
    <row r="260" spans="1:12" hidden="1">
      <c r="A260" s="689" t="s">
        <v>118</v>
      </c>
      <c r="B260" s="745" t="s">
        <v>116</v>
      </c>
      <c r="C260" s="745"/>
      <c r="D260" s="745"/>
      <c r="E260" s="746"/>
      <c r="F260" s="693"/>
      <c r="G260" s="829"/>
      <c r="H260" s="695" t="s">
        <v>113</v>
      </c>
      <c r="I260" s="711" t="s">
        <v>123</v>
      </c>
      <c r="J260" s="690"/>
      <c r="K260" s="709"/>
      <c r="L260" s="708" t="s">
        <v>103</v>
      </c>
    </row>
    <row r="261" spans="1:12" hidden="1">
      <c r="A261" s="689" t="s">
        <v>118</v>
      </c>
      <c r="B261" s="724" t="s">
        <v>116</v>
      </c>
      <c r="C261" s="734" t="s">
        <v>47</v>
      </c>
      <c r="D261" s="734" t="s">
        <v>99</v>
      </c>
      <c r="E261" s="744" t="s">
        <v>22</v>
      </c>
      <c r="F261" s="736" t="s">
        <v>100</v>
      </c>
      <c r="G261" s="828">
        <f>ROUND(armatura!F51,2)</f>
        <v>44.68</v>
      </c>
      <c r="H261" s="704" t="s">
        <v>113</v>
      </c>
      <c r="I261" s="737" t="s">
        <v>123</v>
      </c>
      <c r="J261" s="738">
        <f>J248</f>
        <v>25</v>
      </c>
      <c r="K261" s="747" t="s">
        <v>124</v>
      </c>
      <c r="L261" s="708" t="s">
        <v>103</v>
      </c>
    </row>
    <row r="262" spans="1:12" hidden="1">
      <c r="A262" s="689" t="s">
        <v>118</v>
      </c>
      <c r="B262" s="724" t="s">
        <v>116</v>
      </c>
      <c r="C262" s="734" t="s">
        <v>49</v>
      </c>
      <c r="D262" s="734" t="s">
        <v>104</v>
      </c>
      <c r="E262" s="744" t="s">
        <v>24</v>
      </c>
      <c r="F262" s="736" t="s">
        <v>100</v>
      </c>
      <c r="G262" s="828">
        <f>ROUND(armatura!F52,2)</f>
        <v>110.48</v>
      </c>
      <c r="H262" s="704" t="s">
        <v>113</v>
      </c>
      <c r="I262" s="737" t="s">
        <v>123</v>
      </c>
      <c r="J262" s="738">
        <f t="shared" ref="J262:J269" si="21">J249</f>
        <v>30</v>
      </c>
      <c r="K262" s="709"/>
      <c r="L262" s="708" t="s">
        <v>103</v>
      </c>
    </row>
    <row r="263" spans="1:12" hidden="1">
      <c r="A263" s="689" t="s">
        <v>118</v>
      </c>
      <c r="B263" s="724" t="s">
        <v>116</v>
      </c>
      <c r="C263" s="734" t="s">
        <v>51</v>
      </c>
      <c r="D263" s="734" t="s">
        <v>105</v>
      </c>
      <c r="E263" s="744">
        <v>1</v>
      </c>
      <c r="F263" s="736" t="s">
        <v>100</v>
      </c>
      <c r="G263" s="828">
        <f>ROUND(armatura!F53,2)</f>
        <v>303.5</v>
      </c>
      <c r="H263" s="704" t="s">
        <v>113</v>
      </c>
      <c r="I263" s="737" t="s">
        <v>123</v>
      </c>
      <c r="J263" s="738">
        <f t="shared" si="21"/>
        <v>35</v>
      </c>
      <c r="K263" s="709"/>
      <c r="L263" s="708" t="s">
        <v>103</v>
      </c>
    </row>
    <row r="264" spans="1:12" hidden="1">
      <c r="A264" s="689" t="s">
        <v>118</v>
      </c>
      <c r="B264" s="724" t="s">
        <v>116</v>
      </c>
      <c r="C264" s="734" t="s">
        <v>53</v>
      </c>
      <c r="D264" s="734" t="s">
        <v>106</v>
      </c>
      <c r="E264" s="744">
        <v>1.25</v>
      </c>
      <c r="F264" s="736" t="s">
        <v>100</v>
      </c>
      <c r="G264" s="828">
        <f>ROUND(armatura!F54,2)</f>
        <v>386.46</v>
      </c>
      <c r="H264" s="704" t="s">
        <v>113</v>
      </c>
      <c r="I264" s="737" t="s">
        <v>123</v>
      </c>
      <c r="J264" s="738">
        <f t="shared" si="21"/>
        <v>50</v>
      </c>
      <c r="K264" s="709"/>
      <c r="L264" s="708" t="s">
        <v>103</v>
      </c>
    </row>
    <row r="265" spans="1:12" hidden="1">
      <c r="A265" s="689" t="s">
        <v>118</v>
      </c>
      <c r="B265" s="724" t="s">
        <v>116</v>
      </c>
      <c r="C265" s="734" t="s">
        <v>55</v>
      </c>
      <c r="D265" s="734" t="s">
        <v>107</v>
      </c>
      <c r="E265" s="744">
        <v>1.5</v>
      </c>
      <c r="F265" s="736" t="s">
        <v>100</v>
      </c>
      <c r="G265" s="828">
        <f>ROUND(armatura!F55,2)</f>
        <v>458.36</v>
      </c>
      <c r="H265" s="704" t="s">
        <v>113</v>
      </c>
      <c r="I265" s="737" t="s">
        <v>123</v>
      </c>
      <c r="J265" s="738">
        <f t="shared" si="21"/>
        <v>55</v>
      </c>
      <c r="K265" s="709"/>
      <c r="L265" s="708" t="s">
        <v>103</v>
      </c>
    </row>
    <row r="266" spans="1:12" hidden="1">
      <c r="A266" s="689" t="s">
        <v>118</v>
      </c>
      <c r="B266" s="724" t="s">
        <v>116</v>
      </c>
      <c r="C266" s="734" t="s">
        <v>57</v>
      </c>
      <c r="D266" s="734" t="s">
        <v>31</v>
      </c>
      <c r="E266" s="744">
        <v>2</v>
      </c>
      <c r="F266" s="736" t="s">
        <v>100</v>
      </c>
      <c r="G266" s="828">
        <f>ROUND(armatura!F56,2)</f>
        <v>1903.4</v>
      </c>
      <c r="H266" s="704" t="s">
        <v>113</v>
      </c>
      <c r="I266" s="737" t="s">
        <v>123</v>
      </c>
      <c r="J266" s="738">
        <f t="shared" si="21"/>
        <v>75</v>
      </c>
      <c r="K266" s="747" t="s">
        <v>125</v>
      </c>
      <c r="L266" s="708" t="s">
        <v>103</v>
      </c>
    </row>
    <row r="267" spans="1:12" hidden="1">
      <c r="A267" s="689" t="s">
        <v>118</v>
      </c>
      <c r="B267" s="724" t="s">
        <v>116</v>
      </c>
      <c r="C267" s="734" t="s">
        <v>59</v>
      </c>
      <c r="D267" s="844" t="s">
        <v>33</v>
      </c>
      <c r="E267" s="845" t="s">
        <v>34</v>
      </c>
      <c r="F267" s="736" t="s">
        <v>100</v>
      </c>
      <c r="G267" s="828">
        <f>ROUND(armatura!F57,2)</f>
        <v>1903.4</v>
      </c>
      <c r="H267" s="704" t="s">
        <v>113</v>
      </c>
      <c r="I267" s="737" t="s">
        <v>123</v>
      </c>
      <c r="J267" s="738">
        <f t="shared" si="21"/>
        <v>120</v>
      </c>
      <c r="K267" s="709"/>
      <c r="L267" s="708" t="s">
        <v>103</v>
      </c>
    </row>
    <row r="268" spans="1:12" hidden="1">
      <c r="A268" s="689" t="s">
        <v>118</v>
      </c>
      <c r="B268" s="724" t="s">
        <v>116</v>
      </c>
      <c r="C268" s="734" t="s">
        <v>60</v>
      </c>
      <c r="D268" s="700" t="s">
        <v>35</v>
      </c>
      <c r="E268" s="744"/>
      <c r="F268" s="736" t="s">
        <v>100</v>
      </c>
      <c r="G268" s="828">
        <f>ROUND(armatura!F58,2)</f>
        <v>2356.19</v>
      </c>
      <c r="H268" s="704" t="s">
        <v>113</v>
      </c>
      <c r="I268" s="737" t="s">
        <v>123</v>
      </c>
      <c r="J268" s="738">
        <f t="shared" si="21"/>
        <v>150</v>
      </c>
      <c r="K268" s="709"/>
      <c r="L268" s="708" t="s">
        <v>103</v>
      </c>
    </row>
    <row r="269" spans="1:12" hidden="1">
      <c r="A269" s="689" t="s">
        <v>118</v>
      </c>
      <c r="B269" s="724" t="s">
        <v>116</v>
      </c>
      <c r="C269" s="734" t="s">
        <v>62</v>
      </c>
      <c r="D269" s="844" t="s">
        <v>37</v>
      </c>
      <c r="E269" s="845">
        <v>4</v>
      </c>
      <c r="F269" s="736" t="s">
        <v>100</v>
      </c>
      <c r="G269" s="828">
        <f>ROUND(armatura!F59,2)</f>
        <v>3206.38</v>
      </c>
      <c r="H269" s="704" t="s">
        <v>113</v>
      </c>
      <c r="I269" s="737" t="s">
        <v>123</v>
      </c>
      <c r="J269" s="738">
        <f t="shared" si="21"/>
        <v>162</v>
      </c>
      <c r="K269" s="709"/>
      <c r="L269" s="708" t="s">
        <v>103</v>
      </c>
    </row>
    <row r="270" spans="1:12" hidden="1">
      <c r="A270" s="689" t="s">
        <v>118</v>
      </c>
      <c r="B270" s="724" t="s">
        <v>116</v>
      </c>
      <c r="C270" s="734" t="s">
        <v>66</v>
      </c>
      <c r="D270" s="734" t="s">
        <v>120</v>
      </c>
      <c r="E270" s="744"/>
      <c r="F270" s="736" t="s">
        <v>100</v>
      </c>
      <c r="G270" s="828">
        <f>ROUND(armatura!F60,2)</f>
        <v>7100.47</v>
      </c>
      <c r="H270" s="704" t="s">
        <v>113</v>
      </c>
      <c r="I270" s="737" t="s">
        <v>123</v>
      </c>
      <c r="J270" s="738">
        <v>250</v>
      </c>
      <c r="K270" s="709"/>
      <c r="L270" s="708" t="s">
        <v>103</v>
      </c>
    </row>
    <row r="271" spans="1:12" hidden="1">
      <c r="A271" s="689" t="s">
        <v>118</v>
      </c>
      <c r="B271" s="724" t="s">
        <v>116</v>
      </c>
      <c r="C271" s="734" t="s">
        <v>121</v>
      </c>
      <c r="D271" s="734"/>
      <c r="E271" s="744"/>
      <c r="F271" s="736" t="s">
        <v>100</v>
      </c>
      <c r="G271" s="828">
        <f>ROUND(armatura!F61,2)</f>
        <v>13797.4</v>
      </c>
      <c r="H271" s="704" t="s">
        <v>113</v>
      </c>
      <c r="I271" s="737" t="s">
        <v>123</v>
      </c>
      <c r="J271" s="738">
        <v>325</v>
      </c>
      <c r="K271" s="709"/>
      <c r="L271" s="708" t="s">
        <v>103</v>
      </c>
    </row>
    <row r="272" spans="1:12" hidden="1">
      <c r="A272" s="689" t="s">
        <v>118</v>
      </c>
      <c r="B272" s="724" t="s">
        <v>116</v>
      </c>
      <c r="C272" s="734" t="s">
        <v>122</v>
      </c>
      <c r="D272" s="734"/>
      <c r="E272" s="744"/>
      <c r="F272" s="736" t="s">
        <v>100</v>
      </c>
      <c r="G272" s="828">
        <f>ROUND(armatura!F62,2)</f>
        <v>25434.29</v>
      </c>
      <c r="H272" s="704" t="s">
        <v>113</v>
      </c>
      <c r="I272" s="737" t="s">
        <v>123</v>
      </c>
      <c r="J272" s="738">
        <v>400</v>
      </c>
      <c r="K272" s="709"/>
      <c r="L272" s="708" t="s">
        <v>103</v>
      </c>
    </row>
    <row r="273" spans="1:12" hidden="1">
      <c r="A273" s="689" t="s">
        <v>126</v>
      </c>
      <c r="B273" s="745"/>
      <c r="C273" s="745"/>
      <c r="D273" s="745"/>
      <c r="E273" s="692"/>
      <c r="F273" s="693"/>
      <c r="G273" s="829"/>
      <c r="H273" s="695" t="s">
        <v>127</v>
      </c>
      <c r="I273" s="711"/>
      <c r="J273" s="690"/>
      <c r="K273" s="709"/>
      <c r="L273" s="708" t="s">
        <v>103</v>
      </c>
    </row>
    <row r="274" spans="1:12" ht="16.5" hidden="1">
      <c r="A274" s="731" t="s">
        <v>128</v>
      </c>
      <c r="B274" s="724" t="s">
        <v>129</v>
      </c>
      <c r="C274" s="734" t="s">
        <v>47</v>
      </c>
      <c r="D274" s="705" t="s">
        <v>99</v>
      </c>
      <c r="E274" s="744">
        <v>0.5</v>
      </c>
      <c r="F274" s="736" t="s">
        <v>100</v>
      </c>
      <c r="G274" s="727">
        <f>ROUND(armatura!G257,2)</f>
        <v>13.92</v>
      </c>
      <c r="H274" s="704" t="s">
        <v>130</v>
      </c>
      <c r="I274" s="736"/>
      <c r="J274" s="752">
        <v>25</v>
      </c>
      <c r="K274" s="900"/>
      <c r="L274" s="708" t="s">
        <v>103</v>
      </c>
    </row>
    <row r="275" spans="1:12" ht="16.5" hidden="1">
      <c r="A275" s="731" t="s">
        <v>128</v>
      </c>
      <c r="B275" s="724" t="s">
        <v>129</v>
      </c>
      <c r="C275" s="734" t="s">
        <v>49</v>
      </c>
      <c r="D275" s="705" t="s">
        <v>104</v>
      </c>
      <c r="E275" s="744">
        <v>0.75</v>
      </c>
      <c r="F275" s="736" t="s">
        <v>100</v>
      </c>
      <c r="G275" s="727">
        <f>ROUND(armatura!G258,2)</f>
        <v>21.18</v>
      </c>
      <c r="H275" s="704" t="s">
        <v>130</v>
      </c>
      <c r="I275" s="736"/>
      <c r="J275" s="752">
        <v>30</v>
      </c>
      <c r="K275" s="900"/>
      <c r="L275" s="708" t="s">
        <v>103</v>
      </c>
    </row>
    <row r="276" spans="1:12" ht="16.5" hidden="1">
      <c r="A276" s="731" t="s">
        <v>128</v>
      </c>
      <c r="B276" s="724" t="s">
        <v>129</v>
      </c>
      <c r="C276" s="734" t="s">
        <v>51</v>
      </c>
      <c r="D276" s="705" t="s">
        <v>105</v>
      </c>
      <c r="E276" s="744">
        <v>1</v>
      </c>
      <c r="F276" s="736" t="s">
        <v>100</v>
      </c>
      <c r="G276" s="727">
        <f>ROUND(armatura!G259,2)</f>
        <v>31.38</v>
      </c>
      <c r="H276" s="704" t="s">
        <v>130</v>
      </c>
      <c r="I276" s="736"/>
      <c r="J276" s="752">
        <v>35</v>
      </c>
      <c r="K276" s="900"/>
      <c r="L276" s="708" t="s">
        <v>103</v>
      </c>
    </row>
    <row r="277" spans="1:12" ht="16.5" hidden="1">
      <c r="A277" s="731" t="s">
        <v>128</v>
      </c>
      <c r="B277" s="724" t="s">
        <v>129</v>
      </c>
      <c r="C277" s="734" t="s">
        <v>53</v>
      </c>
      <c r="D277" s="705" t="s">
        <v>106</v>
      </c>
      <c r="E277" s="744">
        <v>1.25</v>
      </c>
      <c r="F277" s="736" t="s">
        <v>100</v>
      </c>
      <c r="G277" s="727">
        <f>ROUND(armatura!G260,2)</f>
        <v>63.18</v>
      </c>
      <c r="H277" s="704" t="s">
        <v>130</v>
      </c>
      <c r="I277" s="736"/>
      <c r="J277" s="752">
        <v>50</v>
      </c>
      <c r="K277" s="900"/>
      <c r="L277" s="708" t="s">
        <v>103</v>
      </c>
    </row>
    <row r="278" spans="1:12" ht="16.5" hidden="1">
      <c r="A278" s="731" t="s">
        <v>128</v>
      </c>
      <c r="B278" s="724" t="s">
        <v>129</v>
      </c>
      <c r="C278" s="734" t="s">
        <v>55</v>
      </c>
      <c r="D278" s="705" t="s">
        <v>107</v>
      </c>
      <c r="E278" s="744">
        <v>1.5</v>
      </c>
      <c r="F278" s="736" t="s">
        <v>100</v>
      </c>
      <c r="G278" s="727">
        <f>ROUND(armatura!G261,2)</f>
        <v>83.7</v>
      </c>
      <c r="H278" s="704" t="s">
        <v>130</v>
      </c>
      <c r="I278" s="736"/>
      <c r="J278" s="752">
        <v>55</v>
      </c>
      <c r="K278" s="900"/>
      <c r="L278" s="708" t="s">
        <v>103</v>
      </c>
    </row>
    <row r="279" spans="1:12" ht="16.5" hidden="1">
      <c r="A279" s="731" t="s">
        <v>128</v>
      </c>
      <c r="B279" s="724" t="s">
        <v>129</v>
      </c>
      <c r="C279" s="734" t="s">
        <v>57</v>
      </c>
      <c r="D279" s="705" t="s">
        <v>31</v>
      </c>
      <c r="E279" s="744">
        <v>2</v>
      </c>
      <c r="F279" s="736" t="s">
        <v>100</v>
      </c>
      <c r="G279" s="727">
        <f>ROUND(armatura!G262,2)</f>
        <v>138.72</v>
      </c>
      <c r="H279" s="704" t="s">
        <v>130</v>
      </c>
      <c r="I279" s="736"/>
      <c r="J279" s="752">
        <v>75</v>
      </c>
      <c r="K279" s="900"/>
      <c r="L279" s="708" t="s">
        <v>103</v>
      </c>
    </row>
    <row r="280" spans="1:12" hidden="1">
      <c r="A280" s="689" t="s">
        <v>126</v>
      </c>
      <c r="B280" s="722"/>
      <c r="C280" s="755"/>
      <c r="D280" s="691"/>
      <c r="E280" s="746"/>
      <c r="F280" s="693"/>
      <c r="G280" s="723"/>
      <c r="H280" s="695"/>
      <c r="I280" s="693"/>
      <c r="J280" s="753"/>
      <c r="K280" s="900"/>
      <c r="L280" s="708" t="s">
        <v>103</v>
      </c>
    </row>
    <row r="281" spans="1:12" hidden="1">
      <c r="A281" s="689" t="s">
        <v>126</v>
      </c>
      <c r="B281" s="724" t="s">
        <v>129</v>
      </c>
      <c r="C281" s="734" t="s">
        <v>47</v>
      </c>
      <c r="D281" s="734" t="s">
        <v>99</v>
      </c>
      <c r="E281" s="735" t="s">
        <v>22</v>
      </c>
      <c r="F281" s="736" t="s">
        <v>100</v>
      </c>
      <c r="G281" s="828">
        <f>ROUND(armatura!F64,2)</f>
        <v>151.58000000000001</v>
      </c>
      <c r="H281" s="704" t="s">
        <v>113</v>
      </c>
      <c r="I281" s="737"/>
      <c r="J281" s="738">
        <v>25</v>
      </c>
      <c r="K281" s="737" t="s">
        <v>131</v>
      </c>
      <c r="L281" s="708" t="s">
        <v>103</v>
      </c>
    </row>
    <row r="282" spans="1:12" hidden="1">
      <c r="A282" s="689" t="s">
        <v>126</v>
      </c>
      <c r="B282" s="724" t="s">
        <v>129</v>
      </c>
      <c r="C282" s="734" t="s">
        <v>49</v>
      </c>
      <c r="D282" s="734" t="s">
        <v>104</v>
      </c>
      <c r="E282" s="735" t="s">
        <v>24</v>
      </c>
      <c r="F282" s="736" t="s">
        <v>100</v>
      </c>
      <c r="G282" s="828">
        <f>ROUND(armatura!F65,2)</f>
        <v>151.58000000000001</v>
      </c>
      <c r="H282" s="704" t="s">
        <v>113</v>
      </c>
      <c r="I282" s="737"/>
      <c r="J282" s="738">
        <v>30</v>
      </c>
      <c r="K282" s="737" t="s">
        <v>131</v>
      </c>
      <c r="L282" s="708" t="s">
        <v>103</v>
      </c>
    </row>
    <row r="283" spans="1:12" hidden="1">
      <c r="A283" s="689" t="s">
        <v>126</v>
      </c>
      <c r="B283" s="724" t="s">
        <v>129</v>
      </c>
      <c r="C283" s="734" t="s">
        <v>51</v>
      </c>
      <c r="D283" s="734" t="s">
        <v>105</v>
      </c>
      <c r="E283" s="735" t="s">
        <v>26</v>
      </c>
      <c r="F283" s="736" t="s">
        <v>100</v>
      </c>
      <c r="G283" s="828">
        <f>ROUND(armatura!F66,2)</f>
        <v>182.2</v>
      </c>
      <c r="H283" s="704" t="s">
        <v>113</v>
      </c>
      <c r="I283" s="737"/>
      <c r="J283" s="738">
        <v>35</v>
      </c>
      <c r="K283" s="737" t="s">
        <v>131</v>
      </c>
      <c r="L283" s="708" t="s">
        <v>103</v>
      </c>
    </row>
    <row r="284" spans="1:12" hidden="1">
      <c r="A284" s="689" t="s">
        <v>126</v>
      </c>
      <c r="B284" s="724" t="s">
        <v>129</v>
      </c>
      <c r="C284" s="734" t="s">
        <v>53</v>
      </c>
      <c r="D284" s="734" t="s">
        <v>106</v>
      </c>
      <c r="E284" s="735" t="s">
        <v>28</v>
      </c>
      <c r="F284" s="736" t="s">
        <v>100</v>
      </c>
      <c r="G284" s="828">
        <f>ROUND(armatura!F67,2)</f>
        <v>201.32</v>
      </c>
      <c r="H284" s="704" t="s">
        <v>113</v>
      </c>
      <c r="I284" s="737"/>
      <c r="J284" s="738">
        <v>50</v>
      </c>
      <c r="K284" s="737" t="s">
        <v>131</v>
      </c>
      <c r="L284" s="708" t="s">
        <v>103</v>
      </c>
    </row>
    <row r="285" spans="1:12" hidden="1">
      <c r="A285" s="689" t="s">
        <v>126</v>
      </c>
      <c r="B285" s="724" t="s">
        <v>129</v>
      </c>
      <c r="C285" s="734" t="s">
        <v>55</v>
      </c>
      <c r="D285" s="734" t="s">
        <v>107</v>
      </c>
      <c r="E285" s="735" t="s">
        <v>30</v>
      </c>
      <c r="F285" s="736" t="s">
        <v>100</v>
      </c>
      <c r="G285" s="828">
        <f>ROUND(armatura!F68,2)</f>
        <v>302</v>
      </c>
      <c r="H285" s="704" t="s">
        <v>113</v>
      </c>
      <c r="I285" s="737"/>
      <c r="J285" s="738">
        <v>55</v>
      </c>
      <c r="K285" s="737" t="s">
        <v>131</v>
      </c>
      <c r="L285" s="708" t="s">
        <v>103</v>
      </c>
    </row>
    <row r="286" spans="1:12" hidden="1">
      <c r="A286" s="689" t="s">
        <v>126</v>
      </c>
      <c r="B286" s="724" t="s">
        <v>129</v>
      </c>
      <c r="C286" s="734" t="s">
        <v>57</v>
      </c>
      <c r="D286" s="734" t="s">
        <v>31</v>
      </c>
      <c r="E286" s="735" t="s">
        <v>32</v>
      </c>
      <c r="F286" s="736" t="s">
        <v>100</v>
      </c>
      <c r="G286" s="828">
        <f>ROUND(armatura!F69,2)</f>
        <v>414.41</v>
      </c>
      <c r="H286" s="704" t="s">
        <v>113</v>
      </c>
      <c r="I286" s="737"/>
      <c r="J286" s="738">
        <v>75</v>
      </c>
      <c r="K286" s="737" t="s">
        <v>131</v>
      </c>
      <c r="L286" s="708" t="s">
        <v>103</v>
      </c>
    </row>
    <row r="287" spans="1:12" hidden="1">
      <c r="A287" s="689" t="s">
        <v>126</v>
      </c>
      <c r="B287" s="724" t="s">
        <v>132</v>
      </c>
      <c r="C287" s="734" t="s">
        <v>59</v>
      </c>
      <c r="D287" s="844" t="s">
        <v>33</v>
      </c>
      <c r="E287" s="845" t="s">
        <v>34</v>
      </c>
      <c r="F287" s="736" t="s">
        <v>100</v>
      </c>
      <c r="G287" s="828">
        <f>ROUND(armatura!F72,2)</f>
        <v>478.53</v>
      </c>
      <c r="H287" s="704" t="s">
        <v>113</v>
      </c>
      <c r="I287" s="737"/>
      <c r="J287" s="738">
        <v>120</v>
      </c>
      <c r="K287" s="737" t="s">
        <v>133</v>
      </c>
      <c r="L287" s="708" t="s">
        <v>103</v>
      </c>
    </row>
    <row r="288" spans="1:12" hidden="1">
      <c r="A288" s="689" t="s">
        <v>126</v>
      </c>
      <c r="B288" s="724" t="s">
        <v>132</v>
      </c>
      <c r="C288" s="734" t="s">
        <v>60</v>
      </c>
      <c r="D288" s="700" t="s">
        <v>35</v>
      </c>
      <c r="E288" s="735" t="s">
        <v>36</v>
      </c>
      <c r="F288" s="736" t="s">
        <v>100</v>
      </c>
      <c r="G288" s="828">
        <f>ROUND(armatura!F73,2)</f>
        <v>604.5</v>
      </c>
      <c r="H288" s="704" t="s">
        <v>113</v>
      </c>
      <c r="I288" s="737"/>
      <c r="J288" s="738">
        <v>150</v>
      </c>
      <c r="K288" s="737" t="s">
        <v>133</v>
      </c>
      <c r="L288" s="708" t="s">
        <v>103</v>
      </c>
    </row>
    <row r="289" spans="1:12" hidden="1">
      <c r="A289" s="689" t="s">
        <v>126</v>
      </c>
      <c r="B289" s="724" t="s">
        <v>132</v>
      </c>
      <c r="C289" s="734" t="s">
        <v>62</v>
      </c>
      <c r="D289" s="844" t="s">
        <v>37</v>
      </c>
      <c r="E289" s="845">
        <v>4</v>
      </c>
      <c r="F289" s="736" t="s">
        <v>100</v>
      </c>
      <c r="G289" s="828">
        <f>ROUND(armatura!F74,2)</f>
        <v>782.21</v>
      </c>
      <c r="H289" s="704" t="s">
        <v>113</v>
      </c>
      <c r="I289" s="737"/>
      <c r="J289" s="738">
        <v>162</v>
      </c>
      <c r="K289" s="737" t="s">
        <v>133</v>
      </c>
      <c r="L289" s="708" t="s">
        <v>103</v>
      </c>
    </row>
    <row r="290" spans="1:12" hidden="1">
      <c r="A290" s="689" t="s">
        <v>126</v>
      </c>
      <c r="B290" s="724" t="s">
        <v>132</v>
      </c>
      <c r="C290" s="734" t="s">
        <v>63</v>
      </c>
      <c r="D290" s="734" t="s">
        <v>64</v>
      </c>
      <c r="E290" s="735"/>
      <c r="F290" s="736" t="s">
        <v>100</v>
      </c>
      <c r="G290" s="828">
        <f>ROUND(armatura!F75,2)</f>
        <v>1191.95</v>
      </c>
      <c r="H290" s="704" t="s">
        <v>113</v>
      </c>
      <c r="I290" s="737"/>
      <c r="J290" s="738">
        <v>200</v>
      </c>
      <c r="K290" s="737" t="s">
        <v>133</v>
      </c>
      <c r="L290" s="708" t="s">
        <v>103</v>
      </c>
    </row>
    <row r="291" spans="1:12" hidden="1">
      <c r="A291" s="689" t="s">
        <v>126</v>
      </c>
      <c r="B291" s="724" t="s">
        <v>132</v>
      </c>
      <c r="C291" s="734" t="s">
        <v>66</v>
      </c>
      <c r="D291" s="734" t="s">
        <v>120</v>
      </c>
      <c r="E291" s="735"/>
      <c r="F291" s="736" t="s">
        <v>100</v>
      </c>
      <c r="G291" s="828">
        <f>ROUND(armatura!F76,2)</f>
        <v>1878.31</v>
      </c>
      <c r="H291" s="704" t="s">
        <v>113</v>
      </c>
      <c r="I291" s="737"/>
      <c r="J291" s="738">
        <v>250</v>
      </c>
      <c r="K291" s="737" t="s">
        <v>133</v>
      </c>
      <c r="L291" s="708" t="s">
        <v>103</v>
      </c>
    </row>
    <row r="292" spans="1:12" hidden="1">
      <c r="A292" s="689" t="s">
        <v>126</v>
      </c>
      <c r="B292" s="724" t="s">
        <v>132</v>
      </c>
      <c r="C292" s="734" t="s">
        <v>121</v>
      </c>
      <c r="D292" s="734"/>
      <c r="E292" s="735"/>
      <c r="F292" s="736" t="s">
        <v>100</v>
      </c>
      <c r="G292" s="828">
        <f>ROUND(armatura!F77,2)</f>
        <v>4568.67</v>
      </c>
      <c r="H292" s="704" t="s">
        <v>113</v>
      </c>
      <c r="I292" s="737"/>
      <c r="J292" s="738">
        <v>325</v>
      </c>
      <c r="K292" s="737" t="s">
        <v>133</v>
      </c>
      <c r="L292" s="708" t="s">
        <v>103</v>
      </c>
    </row>
    <row r="293" spans="1:12" hidden="1">
      <c r="A293" s="689" t="s">
        <v>126</v>
      </c>
      <c r="B293" s="724" t="s">
        <v>132</v>
      </c>
      <c r="C293" s="734" t="s">
        <v>122</v>
      </c>
      <c r="D293" s="734"/>
      <c r="E293" s="735"/>
      <c r="F293" s="736" t="s">
        <v>100</v>
      </c>
      <c r="G293" s="828">
        <f>ROUND(armatura!F78,2)</f>
        <v>7134.69</v>
      </c>
      <c r="H293" s="704" t="s">
        <v>113</v>
      </c>
      <c r="I293" s="737"/>
      <c r="J293" s="738">
        <v>400</v>
      </c>
      <c r="K293" s="737" t="s">
        <v>133</v>
      </c>
      <c r="L293" s="708" t="s">
        <v>103</v>
      </c>
    </row>
    <row r="294" spans="1:12" hidden="1">
      <c r="A294" s="689" t="s">
        <v>134</v>
      </c>
      <c r="B294" s="745" t="s">
        <v>135</v>
      </c>
      <c r="C294" s="745"/>
      <c r="D294" s="745"/>
      <c r="E294" s="692"/>
      <c r="F294" s="693" t="s">
        <v>100</v>
      </c>
      <c r="G294" s="829"/>
      <c r="H294" s="695"/>
      <c r="I294" s="711"/>
      <c r="J294" s="690"/>
      <c r="K294" s="709"/>
      <c r="L294" s="708" t="s">
        <v>16</v>
      </c>
    </row>
    <row r="295" spans="1:12" hidden="1">
      <c r="A295" s="689" t="s">
        <v>134</v>
      </c>
      <c r="B295" s="724" t="s">
        <v>135</v>
      </c>
      <c r="C295" s="748" t="s">
        <v>47</v>
      </c>
      <c r="D295" s="705"/>
      <c r="E295" s="735"/>
      <c r="F295" s="736" t="s">
        <v>100</v>
      </c>
      <c r="G295" s="828">
        <f>ROUND(armatura!F83,2)</f>
        <v>690.9</v>
      </c>
      <c r="H295" s="704" t="s">
        <v>136</v>
      </c>
      <c r="I295" s="737" t="s">
        <v>137</v>
      </c>
      <c r="J295" s="738">
        <v>40</v>
      </c>
      <c r="K295" s="709"/>
      <c r="L295" s="708" t="s">
        <v>103</v>
      </c>
    </row>
    <row r="296" spans="1:12" hidden="1">
      <c r="A296" s="689" t="s">
        <v>134</v>
      </c>
      <c r="B296" s="724" t="s">
        <v>135</v>
      </c>
      <c r="C296" s="748" t="s">
        <v>49</v>
      </c>
      <c r="D296" s="705"/>
      <c r="E296" s="735"/>
      <c r="F296" s="736" t="s">
        <v>100</v>
      </c>
      <c r="G296" s="828">
        <f>ROUND(armatura!F84,2)</f>
        <v>763.7</v>
      </c>
      <c r="H296" s="704" t="s">
        <v>136</v>
      </c>
      <c r="I296" s="737" t="s">
        <v>137</v>
      </c>
      <c r="J296" s="738">
        <v>50</v>
      </c>
      <c r="K296" s="709"/>
      <c r="L296" s="708" t="s">
        <v>103</v>
      </c>
    </row>
    <row r="297" spans="1:12" hidden="1">
      <c r="A297" s="689" t="s">
        <v>134</v>
      </c>
      <c r="B297" s="724" t="s">
        <v>135</v>
      </c>
      <c r="C297" s="748" t="s">
        <v>47</v>
      </c>
      <c r="D297" s="705"/>
      <c r="E297" s="735"/>
      <c r="F297" s="736" t="s">
        <v>100</v>
      </c>
      <c r="G297" s="828">
        <f>ROUND(armatura!F85,2)</f>
        <v>427.11</v>
      </c>
      <c r="H297" s="704" t="s">
        <v>138</v>
      </c>
      <c r="I297" s="737" t="s">
        <v>139</v>
      </c>
      <c r="J297" s="738">
        <f>J295</f>
        <v>40</v>
      </c>
      <c r="K297" s="709"/>
      <c r="L297" s="708" t="s">
        <v>103</v>
      </c>
    </row>
    <row r="298" spans="1:12" hidden="1">
      <c r="A298" s="689" t="s">
        <v>134</v>
      </c>
      <c r="B298" s="724" t="s">
        <v>135</v>
      </c>
      <c r="C298" s="748" t="s">
        <v>49</v>
      </c>
      <c r="D298" s="705"/>
      <c r="E298" s="735"/>
      <c r="F298" s="736" t="s">
        <v>100</v>
      </c>
      <c r="G298" s="828">
        <f>ROUND(armatura!F86,2)</f>
        <v>462.11</v>
      </c>
      <c r="H298" s="704" t="s">
        <v>138</v>
      </c>
      <c r="I298" s="737" t="s">
        <v>139</v>
      </c>
      <c r="J298" s="738">
        <f>J296</f>
        <v>50</v>
      </c>
      <c r="K298" s="709"/>
      <c r="L298" s="708" t="s">
        <v>103</v>
      </c>
    </row>
    <row r="299" spans="1:12" hidden="1">
      <c r="A299" s="689" t="s">
        <v>134</v>
      </c>
      <c r="B299" s="745"/>
      <c r="C299" s="745"/>
      <c r="D299" s="745"/>
      <c r="E299" s="692"/>
      <c r="F299" s="693" t="s">
        <v>100</v>
      </c>
      <c r="G299" s="829"/>
      <c r="H299" s="695"/>
      <c r="I299" s="711"/>
      <c r="J299" s="690"/>
      <c r="K299" s="709"/>
      <c r="L299" s="708" t="s">
        <v>16</v>
      </c>
    </row>
    <row r="300" spans="1:12" hidden="1">
      <c r="A300" s="689" t="s">
        <v>134</v>
      </c>
      <c r="B300" s="724" t="s">
        <v>140</v>
      </c>
      <c r="C300" s="748" t="s">
        <v>141</v>
      </c>
      <c r="D300" s="705"/>
      <c r="E300" s="735"/>
      <c r="F300" s="736" t="s">
        <v>100</v>
      </c>
      <c r="G300" s="828">
        <f>ROUND(armatura!F88,2)</f>
        <v>33.21</v>
      </c>
      <c r="H300" s="704" t="s">
        <v>101</v>
      </c>
      <c r="I300" s="737" t="s">
        <v>142</v>
      </c>
      <c r="J300" s="738">
        <v>25</v>
      </c>
      <c r="K300" s="709"/>
      <c r="L300" s="708" t="s">
        <v>103</v>
      </c>
    </row>
    <row r="301" spans="1:12" hidden="1">
      <c r="A301" s="689" t="s">
        <v>143</v>
      </c>
      <c r="B301" s="724" t="s">
        <v>144</v>
      </c>
      <c r="C301" s="748" t="s">
        <v>47</v>
      </c>
      <c r="D301" s="705"/>
      <c r="E301" s="735"/>
      <c r="F301" s="736" t="s">
        <v>100</v>
      </c>
      <c r="G301" s="828">
        <f>ROUND(armatura!F89,2)</f>
        <v>193.42</v>
      </c>
      <c r="H301" s="704" t="s">
        <v>101</v>
      </c>
      <c r="I301" s="737" t="s">
        <v>145</v>
      </c>
      <c r="J301" s="738">
        <v>40</v>
      </c>
      <c r="K301" s="709"/>
      <c r="L301" s="708" t="s">
        <v>103</v>
      </c>
    </row>
    <row r="302" spans="1:12" hidden="1">
      <c r="A302" s="689" t="s">
        <v>143</v>
      </c>
      <c r="B302" s="724" t="s">
        <v>144</v>
      </c>
      <c r="C302" s="748" t="s">
        <v>49</v>
      </c>
      <c r="D302" s="705"/>
      <c r="E302" s="735"/>
      <c r="F302" s="736" t="s">
        <v>100</v>
      </c>
      <c r="G302" s="828">
        <f>ROUND(armatura!F90,2)</f>
        <v>202.38</v>
      </c>
      <c r="H302" s="704" t="s">
        <v>101</v>
      </c>
      <c r="I302" s="737" t="s">
        <v>145</v>
      </c>
      <c r="J302" s="738">
        <v>50</v>
      </c>
      <c r="K302" s="709"/>
      <c r="L302" s="708" t="s">
        <v>103</v>
      </c>
    </row>
    <row r="303" spans="1:12" hidden="1">
      <c r="A303" s="689" t="s">
        <v>143</v>
      </c>
      <c r="B303" s="724" t="s">
        <v>144</v>
      </c>
      <c r="C303" s="748" t="s">
        <v>51</v>
      </c>
      <c r="D303" s="705"/>
      <c r="E303" s="735"/>
      <c r="F303" s="736" t="s">
        <v>100</v>
      </c>
      <c r="G303" s="828">
        <f>ROUND(armatura!F91,2)</f>
        <v>224.5</v>
      </c>
      <c r="H303" s="704" t="s">
        <v>101</v>
      </c>
      <c r="I303" s="737" t="s">
        <v>145</v>
      </c>
      <c r="J303" s="738">
        <v>55</v>
      </c>
      <c r="K303" s="709"/>
      <c r="L303" s="708" t="s">
        <v>103</v>
      </c>
    </row>
    <row r="304" spans="1:12" hidden="1">
      <c r="A304" s="689" t="s">
        <v>143</v>
      </c>
      <c r="B304" s="724" t="s">
        <v>144</v>
      </c>
      <c r="C304" s="748" t="s">
        <v>47</v>
      </c>
      <c r="D304" s="705"/>
      <c r="E304" s="735"/>
      <c r="F304" s="736" t="s">
        <v>100</v>
      </c>
      <c r="G304" s="828">
        <f>ROUND(armatura!F92,2)</f>
        <v>215.39</v>
      </c>
      <c r="H304" s="704" t="s">
        <v>146</v>
      </c>
      <c r="I304" s="737"/>
      <c r="J304" s="738">
        <f>J301</f>
        <v>40</v>
      </c>
      <c r="K304" s="709"/>
      <c r="L304" s="708" t="s">
        <v>103</v>
      </c>
    </row>
    <row r="305" spans="1:12" hidden="1">
      <c r="A305" s="689" t="s">
        <v>143</v>
      </c>
      <c r="B305" s="724" t="s">
        <v>144</v>
      </c>
      <c r="C305" s="748" t="s">
        <v>49</v>
      </c>
      <c r="D305" s="705"/>
      <c r="E305" s="735"/>
      <c r="F305" s="736" t="s">
        <v>100</v>
      </c>
      <c r="G305" s="828">
        <f>ROUND(armatura!F93,2)</f>
        <v>392.82</v>
      </c>
      <c r="H305" s="704" t="s">
        <v>146</v>
      </c>
      <c r="I305" s="737"/>
      <c r="J305" s="738">
        <f>J302</f>
        <v>50</v>
      </c>
      <c r="K305" s="709"/>
      <c r="L305" s="708" t="s">
        <v>103</v>
      </c>
    </row>
    <row r="306" spans="1:12" hidden="1">
      <c r="A306" s="689" t="s">
        <v>143</v>
      </c>
      <c r="B306" s="724" t="s">
        <v>147</v>
      </c>
      <c r="C306" s="748" t="s">
        <v>47</v>
      </c>
      <c r="D306" s="705"/>
      <c r="E306" s="735"/>
      <c r="F306" s="736" t="s">
        <v>100</v>
      </c>
      <c r="G306" s="828">
        <f>ROUND(armatura!F94,2)</f>
        <v>495.3</v>
      </c>
      <c r="H306" s="704" t="s">
        <v>146</v>
      </c>
      <c r="I306" s="737" t="s">
        <v>148</v>
      </c>
      <c r="J306" s="738">
        <f>J303</f>
        <v>55</v>
      </c>
      <c r="K306" s="709"/>
      <c r="L306" s="708" t="s">
        <v>103</v>
      </c>
    </row>
    <row r="307" spans="1:12" hidden="1">
      <c r="A307" s="689"/>
      <c r="B307" s="722"/>
      <c r="C307" s="739"/>
      <c r="D307" s="739"/>
      <c r="E307" s="740"/>
      <c r="F307" s="741"/>
      <c r="G307" s="830"/>
      <c r="H307" s="742"/>
      <c r="I307" s="739"/>
      <c r="J307" s="690"/>
      <c r="K307" s="709"/>
      <c r="L307" s="708" t="s">
        <v>16</v>
      </c>
    </row>
    <row r="308" spans="1:12" hidden="1">
      <c r="A308" s="689" t="s">
        <v>143</v>
      </c>
      <c r="B308" s="738" t="s">
        <v>149</v>
      </c>
      <c r="C308" s="734" t="s">
        <v>47</v>
      </c>
      <c r="D308" s="705" t="s">
        <v>150</v>
      </c>
      <c r="E308" s="735" t="s">
        <v>22</v>
      </c>
      <c r="F308" s="736" t="s">
        <v>100</v>
      </c>
      <c r="G308" s="828">
        <f>ROUND(armatura!G96,2)</f>
        <v>39.61</v>
      </c>
      <c r="H308" s="704" t="s">
        <v>113</v>
      </c>
      <c r="I308" s="736"/>
      <c r="J308" s="738">
        <v>25</v>
      </c>
      <c r="K308" s="736" t="s">
        <v>151</v>
      </c>
      <c r="L308" s="708" t="s">
        <v>103</v>
      </c>
    </row>
    <row r="309" spans="1:12" hidden="1">
      <c r="A309" s="689" t="s">
        <v>143</v>
      </c>
      <c r="B309" s="738" t="s">
        <v>149</v>
      </c>
      <c r="C309" s="734" t="s">
        <v>49</v>
      </c>
      <c r="D309" s="705" t="s">
        <v>104</v>
      </c>
      <c r="E309" s="735" t="s">
        <v>24</v>
      </c>
      <c r="F309" s="736" t="s">
        <v>100</v>
      </c>
      <c r="G309" s="828">
        <f>ROUND(armatura!G97,2)</f>
        <v>48.09</v>
      </c>
      <c r="H309" s="704" t="s">
        <v>113</v>
      </c>
      <c r="I309" s="736"/>
      <c r="J309" s="738">
        <v>30</v>
      </c>
      <c r="K309" s="736" t="s">
        <v>151</v>
      </c>
      <c r="L309" s="708" t="s">
        <v>103</v>
      </c>
    </row>
    <row r="310" spans="1:12" hidden="1">
      <c r="A310" s="689" t="s">
        <v>143</v>
      </c>
      <c r="B310" s="738" t="s">
        <v>149</v>
      </c>
      <c r="C310" s="734" t="s">
        <v>51</v>
      </c>
      <c r="D310" s="705" t="s">
        <v>105</v>
      </c>
      <c r="E310" s="735" t="s">
        <v>26</v>
      </c>
      <c r="F310" s="736" t="s">
        <v>100</v>
      </c>
      <c r="G310" s="828">
        <f>ROUND(armatura!G98,2)</f>
        <v>60.52</v>
      </c>
      <c r="H310" s="704" t="s">
        <v>113</v>
      </c>
      <c r="I310" s="736"/>
      <c r="J310" s="738">
        <v>35</v>
      </c>
      <c r="K310" s="736" t="s">
        <v>151</v>
      </c>
      <c r="L310" s="708" t="s">
        <v>103</v>
      </c>
    </row>
    <row r="311" spans="1:12" hidden="1">
      <c r="A311" s="689" t="s">
        <v>143</v>
      </c>
      <c r="B311" s="738" t="s">
        <v>149</v>
      </c>
      <c r="C311" s="734" t="s">
        <v>53</v>
      </c>
      <c r="D311" s="705" t="s">
        <v>106</v>
      </c>
      <c r="E311" s="735" t="s">
        <v>28</v>
      </c>
      <c r="F311" s="736" t="s">
        <v>100</v>
      </c>
      <c r="G311" s="828">
        <f>ROUND(armatura!G99,2)</f>
        <v>88.29</v>
      </c>
      <c r="H311" s="704" t="s">
        <v>113</v>
      </c>
      <c r="I311" s="736"/>
      <c r="J311" s="738">
        <v>50</v>
      </c>
      <c r="K311" s="736" t="s">
        <v>151</v>
      </c>
      <c r="L311" s="708" t="s">
        <v>103</v>
      </c>
    </row>
    <row r="312" spans="1:12" hidden="1">
      <c r="A312" s="689" t="s">
        <v>143</v>
      </c>
      <c r="B312" s="738" t="s">
        <v>149</v>
      </c>
      <c r="C312" s="734" t="s">
        <v>55</v>
      </c>
      <c r="D312" s="705" t="s">
        <v>107</v>
      </c>
      <c r="E312" s="735" t="s">
        <v>30</v>
      </c>
      <c r="F312" s="736" t="s">
        <v>100</v>
      </c>
      <c r="G312" s="828">
        <f>ROUND(armatura!G100,2)</f>
        <v>117.98</v>
      </c>
      <c r="H312" s="704" t="s">
        <v>113</v>
      </c>
      <c r="I312" s="736"/>
      <c r="J312" s="738">
        <v>55</v>
      </c>
      <c r="K312" s="736" t="s">
        <v>151</v>
      </c>
      <c r="L312" s="708" t="s">
        <v>103</v>
      </c>
    </row>
    <row r="313" spans="1:12" hidden="1">
      <c r="A313" s="689" t="s">
        <v>143</v>
      </c>
      <c r="B313" s="738" t="s">
        <v>149</v>
      </c>
      <c r="C313" s="734" t="s">
        <v>57</v>
      </c>
      <c r="D313" s="705" t="s">
        <v>31</v>
      </c>
      <c r="E313" s="735" t="s">
        <v>32</v>
      </c>
      <c r="F313" s="736" t="s">
        <v>100</v>
      </c>
      <c r="G313" s="828">
        <f>ROUND(armatura!G101,2)</f>
        <v>181.08</v>
      </c>
      <c r="H313" s="704" t="s">
        <v>113</v>
      </c>
      <c r="I313" s="736"/>
      <c r="J313" s="738">
        <v>75</v>
      </c>
      <c r="K313" s="736" t="s">
        <v>151</v>
      </c>
      <c r="L313" s="708" t="s">
        <v>103</v>
      </c>
    </row>
    <row r="314" spans="1:12" hidden="1">
      <c r="A314" s="689" t="s">
        <v>143</v>
      </c>
      <c r="B314" s="738" t="s">
        <v>152</v>
      </c>
      <c r="C314" s="734" t="s">
        <v>59</v>
      </c>
      <c r="D314" s="844" t="s">
        <v>33</v>
      </c>
      <c r="E314" s="845" t="s">
        <v>34</v>
      </c>
      <c r="F314" s="736" t="s">
        <v>100</v>
      </c>
      <c r="G314" s="828">
        <f>ROUND(armatura!G102,2)</f>
        <v>756.54</v>
      </c>
      <c r="H314" s="704" t="s">
        <v>113</v>
      </c>
      <c r="I314" s="736"/>
      <c r="J314" s="738">
        <v>120</v>
      </c>
      <c r="K314" s="736" t="s">
        <v>153</v>
      </c>
      <c r="L314" s="708" t="s">
        <v>103</v>
      </c>
    </row>
    <row r="315" spans="1:12" hidden="1">
      <c r="A315" s="689" t="s">
        <v>143</v>
      </c>
      <c r="B315" s="738" t="s">
        <v>152</v>
      </c>
      <c r="C315" s="734" t="s">
        <v>60</v>
      </c>
      <c r="D315" s="700" t="s">
        <v>35</v>
      </c>
      <c r="E315" s="735" t="s">
        <v>36</v>
      </c>
      <c r="F315" s="736" t="s">
        <v>100</v>
      </c>
      <c r="G315" s="828">
        <f>ROUND(armatura!G103,2)</f>
        <v>1115.03</v>
      </c>
      <c r="H315" s="704" t="s">
        <v>113</v>
      </c>
      <c r="I315" s="736"/>
      <c r="J315" s="738">
        <v>150</v>
      </c>
      <c r="K315" s="736" t="s">
        <v>153</v>
      </c>
      <c r="L315" s="708" t="s">
        <v>103</v>
      </c>
    </row>
    <row r="316" spans="1:12" hidden="1">
      <c r="A316" s="689" t="s">
        <v>143</v>
      </c>
      <c r="B316" s="738" t="s">
        <v>152</v>
      </c>
      <c r="C316" s="734" t="s">
        <v>62</v>
      </c>
      <c r="D316" s="844" t="s">
        <v>37</v>
      </c>
      <c r="E316" s="845">
        <v>4</v>
      </c>
      <c r="F316" s="736" t="s">
        <v>100</v>
      </c>
      <c r="G316" s="828">
        <f>ROUND(armatura!G104,2)</f>
        <v>1529.8</v>
      </c>
      <c r="H316" s="704" t="s">
        <v>113</v>
      </c>
      <c r="I316" s="736"/>
      <c r="J316" s="738">
        <v>162</v>
      </c>
      <c r="K316" s="736" t="s">
        <v>153</v>
      </c>
      <c r="L316" s="708" t="s">
        <v>103</v>
      </c>
    </row>
    <row r="317" spans="1:12" hidden="1">
      <c r="A317" s="689" t="s">
        <v>143</v>
      </c>
      <c r="B317" s="738" t="s">
        <v>152</v>
      </c>
      <c r="C317" s="734" t="s">
        <v>63</v>
      </c>
      <c r="D317" s="734" t="s">
        <v>64</v>
      </c>
      <c r="E317" s="735">
        <v>5</v>
      </c>
      <c r="F317" s="736" t="s">
        <v>100</v>
      </c>
      <c r="G317" s="828">
        <f>ROUND(armatura!G105,2)</f>
        <v>2617.86</v>
      </c>
      <c r="H317" s="704" t="s">
        <v>113</v>
      </c>
      <c r="I317" s="736"/>
      <c r="J317" s="738">
        <v>200</v>
      </c>
      <c r="K317" s="736" t="s">
        <v>153</v>
      </c>
      <c r="L317" s="708" t="s">
        <v>103</v>
      </c>
    </row>
    <row r="318" spans="1:12" hidden="1">
      <c r="A318" s="689" t="s">
        <v>143</v>
      </c>
      <c r="B318" s="738" t="s">
        <v>152</v>
      </c>
      <c r="C318" s="734" t="s">
        <v>66</v>
      </c>
      <c r="D318" s="734" t="s">
        <v>120</v>
      </c>
      <c r="E318" s="735">
        <v>6</v>
      </c>
      <c r="F318" s="736" t="s">
        <v>100</v>
      </c>
      <c r="G318" s="828">
        <f>ROUND(armatura!G106,2)</f>
        <v>3253.26</v>
      </c>
      <c r="H318" s="704" t="s">
        <v>113</v>
      </c>
      <c r="I318" s="736"/>
      <c r="J318" s="738">
        <v>250</v>
      </c>
      <c r="K318" s="736" t="s">
        <v>153</v>
      </c>
      <c r="L318" s="708" t="s">
        <v>103</v>
      </c>
    </row>
    <row r="319" spans="1:12" hidden="1">
      <c r="A319" s="689" t="s">
        <v>143</v>
      </c>
      <c r="B319" s="738" t="s">
        <v>152</v>
      </c>
      <c r="C319" s="734" t="s">
        <v>121</v>
      </c>
      <c r="D319" s="734" t="s">
        <v>154</v>
      </c>
      <c r="E319" s="735">
        <v>8</v>
      </c>
      <c r="F319" s="736" t="s">
        <v>100</v>
      </c>
      <c r="G319" s="828">
        <f>ROUND(armatura!G107,2)</f>
        <v>5168.55</v>
      </c>
      <c r="H319" s="704" t="s">
        <v>113</v>
      </c>
      <c r="I319" s="736"/>
      <c r="J319" s="738">
        <v>325</v>
      </c>
      <c r="K319" s="736" t="s">
        <v>153</v>
      </c>
      <c r="L319" s="708" t="s">
        <v>103</v>
      </c>
    </row>
    <row r="320" spans="1:12" hidden="1">
      <c r="A320" s="689" t="s">
        <v>143</v>
      </c>
      <c r="B320" s="738" t="s">
        <v>152</v>
      </c>
      <c r="C320" s="734" t="s">
        <v>122</v>
      </c>
      <c r="D320" s="734" t="s">
        <v>155</v>
      </c>
      <c r="E320" s="735">
        <v>10</v>
      </c>
      <c r="F320" s="736" t="s">
        <v>100</v>
      </c>
      <c r="G320" s="828">
        <f>ROUND(armatura!G108,2)</f>
        <v>7650.79</v>
      </c>
      <c r="H320" s="704" t="s">
        <v>113</v>
      </c>
      <c r="I320" s="736"/>
      <c r="J320" s="738">
        <v>400</v>
      </c>
      <c r="K320" s="736" t="s">
        <v>153</v>
      </c>
      <c r="L320" s="708" t="s">
        <v>103</v>
      </c>
    </row>
    <row r="321" spans="1:12" hidden="1">
      <c r="A321" s="689" t="s">
        <v>143</v>
      </c>
      <c r="B321" s="738" t="s">
        <v>152</v>
      </c>
      <c r="C321" s="734" t="s">
        <v>156</v>
      </c>
      <c r="D321" s="734" t="s">
        <v>157</v>
      </c>
      <c r="E321" s="735">
        <v>12</v>
      </c>
      <c r="F321" s="736" t="s">
        <v>100</v>
      </c>
      <c r="G321" s="828">
        <f>ROUND(armatura!G109,2)</f>
        <v>11384.36</v>
      </c>
      <c r="H321" s="704" t="s">
        <v>113</v>
      </c>
      <c r="I321" s="736"/>
      <c r="J321" s="738">
        <v>487</v>
      </c>
      <c r="K321" s="736" t="s">
        <v>153</v>
      </c>
      <c r="L321" s="708" t="s">
        <v>103</v>
      </c>
    </row>
    <row r="322" spans="1:12" hidden="1">
      <c r="A322" s="689" t="s">
        <v>143</v>
      </c>
      <c r="B322" s="738" t="s">
        <v>152</v>
      </c>
      <c r="C322" s="734" t="s">
        <v>158</v>
      </c>
      <c r="D322" s="734" t="s">
        <v>159</v>
      </c>
      <c r="E322" s="735">
        <v>14</v>
      </c>
      <c r="F322" s="736" t="s">
        <v>100</v>
      </c>
      <c r="G322" s="828">
        <f>ROUND(armatura!G110,2)</f>
        <v>21946.799999999999</v>
      </c>
      <c r="H322" s="704" t="s">
        <v>113</v>
      </c>
      <c r="I322" s="736"/>
      <c r="J322" s="738">
        <v>562</v>
      </c>
      <c r="K322" s="736" t="s">
        <v>153</v>
      </c>
      <c r="L322" s="708" t="s">
        <v>103</v>
      </c>
    </row>
    <row r="323" spans="1:12" hidden="1">
      <c r="A323" s="689" t="s">
        <v>143</v>
      </c>
      <c r="B323" s="722"/>
      <c r="C323" s="691"/>
      <c r="D323" s="691"/>
      <c r="E323" s="692"/>
      <c r="F323" s="693"/>
      <c r="G323" s="749"/>
      <c r="H323" s="695"/>
      <c r="I323" s="691"/>
      <c r="J323" s="690"/>
      <c r="K323" s="709"/>
      <c r="L323" s="708" t="s">
        <v>16</v>
      </c>
    </row>
    <row r="324" spans="1:12" hidden="1">
      <c r="A324" s="689" t="s">
        <v>160</v>
      </c>
      <c r="B324" s="750" t="s">
        <v>161</v>
      </c>
      <c r="C324" s="734" t="s">
        <v>47</v>
      </c>
      <c r="D324" s="705" t="s">
        <v>99</v>
      </c>
      <c r="E324" s="735" t="s">
        <v>22</v>
      </c>
      <c r="F324" s="736" t="s">
        <v>100</v>
      </c>
      <c r="G324" s="751"/>
      <c r="H324" s="704"/>
      <c r="I324" s="705"/>
      <c r="J324" s="752">
        <v>72</v>
      </c>
      <c r="K324" s="709"/>
      <c r="L324" s="708" t="s">
        <v>103</v>
      </c>
    </row>
    <row r="325" spans="1:12" hidden="1">
      <c r="A325" s="689" t="s">
        <v>160</v>
      </c>
      <c r="B325" s="750" t="s">
        <v>161</v>
      </c>
      <c r="C325" s="734" t="s">
        <v>49</v>
      </c>
      <c r="D325" s="705" t="s">
        <v>104</v>
      </c>
      <c r="E325" s="735" t="s">
        <v>24</v>
      </c>
      <c r="F325" s="736" t="s">
        <v>100</v>
      </c>
      <c r="G325" s="751"/>
      <c r="H325" s="704"/>
      <c r="I325" s="705"/>
      <c r="J325" s="752">
        <v>81</v>
      </c>
      <c r="K325" s="709"/>
      <c r="L325" s="708" t="s">
        <v>103</v>
      </c>
    </row>
    <row r="326" spans="1:12" hidden="1">
      <c r="A326" s="689" t="s">
        <v>160</v>
      </c>
      <c r="B326" s="750" t="s">
        <v>161</v>
      </c>
      <c r="C326" s="734" t="s">
        <v>51</v>
      </c>
      <c r="D326" s="705" t="s">
        <v>105</v>
      </c>
      <c r="E326" s="735" t="s">
        <v>26</v>
      </c>
      <c r="F326" s="736" t="s">
        <v>100</v>
      </c>
      <c r="G326" s="751"/>
      <c r="H326" s="704"/>
      <c r="I326" s="705"/>
      <c r="J326" s="752">
        <v>87</v>
      </c>
      <c r="K326" s="709"/>
      <c r="L326" s="708" t="s">
        <v>103</v>
      </c>
    </row>
    <row r="327" spans="1:12" hidden="1">
      <c r="A327" s="689" t="s">
        <v>160</v>
      </c>
      <c r="B327" s="750" t="s">
        <v>161</v>
      </c>
      <c r="C327" s="734" t="s">
        <v>53</v>
      </c>
      <c r="D327" s="705" t="s">
        <v>106</v>
      </c>
      <c r="E327" s="735" t="s">
        <v>28</v>
      </c>
      <c r="F327" s="736" t="s">
        <v>100</v>
      </c>
      <c r="G327" s="751"/>
      <c r="H327" s="704"/>
      <c r="I327" s="705"/>
      <c r="J327" s="752">
        <v>100</v>
      </c>
      <c r="K327" s="709"/>
      <c r="L327" s="708" t="s">
        <v>103</v>
      </c>
    </row>
    <row r="328" spans="1:12" hidden="1">
      <c r="A328" s="689" t="s">
        <v>160</v>
      </c>
      <c r="B328" s="750" t="s">
        <v>161</v>
      </c>
      <c r="C328" s="734" t="s">
        <v>55</v>
      </c>
      <c r="D328" s="705" t="s">
        <v>107</v>
      </c>
      <c r="E328" s="735" t="s">
        <v>30</v>
      </c>
      <c r="F328" s="736" t="s">
        <v>100</v>
      </c>
      <c r="G328" s="751"/>
      <c r="H328" s="704"/>
      <c r="I328" s="705"/>
      <c r="J328" s="752">
        <v>112</v>
      </c>
      <c r="K328" s="709"/>
      <c r="L328" s="708" t="s">
        <v>103</v>
      </c>
    </row>
    <row r="329" spans="1:12" hidden="1">
      <c r="A329" s="689" t="s">
        <v>160</v>
      </c>
      <c r="B329" s="750" t="s">
        <v>161</v>
      </c>
      <c r="C329" s="734" t="s">
        <v>57</v>
      </c>
      <c r="D329" s="705" t="s">
        <v>31</v>
      </c>
      <c r="E329" s="735" t="s">
        <v>32</v>
      </c>
      <c r="F329" s="736" t="s">
        <v>100</v>
      </c>
      <c r="G329" s="751"/>
      <c r="H329" s="704"/>
      <c r="I329" s="705"/>
      <c r="J329" s="752">
        <v>125</v>
      </c>
      <c r="K329" s="709"/>
      <c r="L329" s="708" t="s">
        <v>103</v>
      </c>
    </row>
    <row r="330" spans="1:12" hidden="1">
      <c r="A330" s="689" t="s">
        <v>160</v>
      </c>
      <c r="B330" s="750" t="s">
        <v>161</v>
      </c>
      <c r="C330" s="734" t="s">
        <v>59</v>
      </c>
      <c r="D330" s="844" t="s">
        <v>33</v>
      </c>
      <c r="E330" s="845" t="s">
        <v>34</v>
      </c>
      <c r="F330" s="736" t="s">
        <v>100</v>
      </c>
      <c r="G330" s="751"/>
      <c r="H330" s="704"/>
      <c r="I330" s="705"/>
      <c r="J330" s="752">
        <v>156</v>
      </c>
      <c r="K330" s="709"/>
      <c r="L330" s="708" t="s">
        <v>103</v>
      </c>
    </row>
    <row r="331" spans="1:12" hidden="1">
      <c r="A331" s="689" t="s">
        <v>160</v>
      </c>
      <c r="B331" s="750" t="s">
        <v>161</v>
      </c>
      <c r="C331" s="734" t="s">
        <v>60</v>
      </c>
      <c r="D331" s="700" t="s">
        <v>35</v>
      </c>
      <c r="E331" s="735" t="s">
        <v>36</v>
      </c>
      <c r="F331" s="736" t="s">
        <v>100</v>
      </c>
      <c r="G331" s="751"/>
      <c r="H331" s="704"/>
      <c r="I331" s="705"/>
      <c r="J331" s="752">
        <v>156</v>
      </c>
      <c r="K331" s="709"/>
      <c r="L331" s="708" t="s">
        <v>103</v>
      </c>
    </row>
    <row r="332" spans="1:12" hidden="1">
      <c r="A332" s="689" t="s">
        <v>160</v>
      </c>
      <c r="B332" s="750" t="s">
        <v>161</v>
      </c>
      <c r="C332" s="734" t="s">
        <v>62</v>
      </c>
      <c r="D332" s="844" t="s">
        <v>37</v>
      </c>
      <c r="E332" s="735" t="s">
        <v>38</v>
      </c>
      <c r="F332" s="736" t="s">
        <v>100</v>
      </c>
      <c r="G332" s="751"/>
      <c r="H332" s="704"/>
      <c r="I332" s="705"/>
      <c r="J332" s="752">
        <v>180</v>
      </c>
      <c r="K332" s="709"/>
      <c r="L332" s="708" t="s">
        <v>103</v>
      </c>
    </row>
    <row r="333" spans="1:12" hidden="1">
      <c r="A333" s="689" t="s">
        <v>160</v>
      </c>
      <c r="B333" s="750" t="s">
        <v>161</v>
      </c>
      <c r="C333" s="734" t="s">
        <v>63</v>
      </c>
      <c r="D333" s="734" t="s">
        <v>64</v>
      </c>
      <c r="E333" s="735">
        <v>5</v>
      </c>
      <c r="F333" s="736" t="s">
        <v>100</v>
      </c>
      <c r="G333" s="751"/>
      <c r="H333" s="704"/>
      <c r="I333" s="705"/>
      <c r="J333" s="752">
        <v>250</v>
      </c>
      <c r="K333" s="709"/>
      <c r="L333" s="708" t="s">
        <v>103</v>
      </c>
    </row>
    <row r="334" spans="1:12" hidden="1">
      <c r="A334" s="689" t="s">
        <v>160</v>
      </c>
      <c r="B334" s="750" t="s">
        <v>161</v>
      </c>
      <c r="C334" s="734" t="s">
        <v>66</v>
      </c>
      <c r="D334" s="734" t="s">
        <v>120</v>
      </c>
      <c r="E334" s="735">
        <v>6</v>
      </c>
      <c r="F334" s="736" t="s">
        <v>100</v>
      </c>
      <c r="G334" s="751"/>
      <c r="H334" s="704"/>
      <c r="I334" s="705"/>
      <c r="J334" s="752">
        <v>287</v>
      </c>
      <c r="K334" s="709"/>
      <c r="L334" s="708" t="s">
        <v>103</v>
      </c>
    </row>
    <row r="335" spans="1:12" hidden="1">
      <c r="A335" s="689" t="s">
        <v>160</v>
      </c>
      <c r="B335" s="750" t="s">
        <v>161</v>
      </c>
      <c r="C335" s="734" t="s">
        <v>121</v>
      </c>
      <c r="D335" s="734" t="s">
        <v>154</v>
      </c>
      <c r="E335" s="735">
        <v>8</v>
      </c>
      <c r="F335" s="736" t="s">
        <v>100</v>
      </c>
      <c r="G335" s="751"/>
      <c r="H335" s="704"/>
      <c r="I335" s="705"/>
      <c r="J335" s="752">
        <v>375</v>
      </c>
      <c r="K335" s="709"/>
      <c r="L335" s="708" t="s">
        <v>103</v>
      </c>
    </row>
    <row r="336" spans="1:12" hidden="1">
      <c r="A336" s="689" t="s">
        <v>160</v>
      </c>
      <c r="B336" s="750" t="s">
        <v>161</v>
      </c>
      <c r="C336" s="734" t="s">
        <v>122</v>
      </c>
      <c r="D336" s="734" t="s">
        <v>155</v>
      </c>
      <c r="E336" s="735">
        <v>10</v>
      </c>
      <c r="F336" s="736" t="s">
        <v>100</v>
      </c>
      <c r="G336" s="751"/>
      <c r="H336" s="704"/>
      <c r="I336" s="705"/>
      <c r="J336" s="752">
        <v>450</v>
      </c>
      <c r="K336" s="709"/>
      <c r="L336" s="708" t="s">
        <v>16</v>
      </c>
    </row>
    <row r="337" spans="1:12" hidden="1">
      <c r="A337" s="689" t="s">
        <v>160</v>
      </c>
      <c r="B337" s="722"/>
      <c r="C337" s="691"/>
      <c r="D337" s="691"/>
      <c r="E337" s="692"/>
      <c r="F337" s="693"/>
      <c r="G337" s="749"/>
      <c r="H337" s="695"/>
      <c r="I337" s="691"/>
      <c r="J337" s="753"/>
      <c r="K337" s="709"/>
      <c r="L337" s="708" t="s">
        <v>103</v>
      </c>
    </row>
    <row r="338" spans="1:12" hidden="1">
      <c r="A338" s="689" t="s">
        <v>160</v>
      </c>
      <c r="B338" s="750" t="s">
        <v>162</v>
      </c>
      <c r="C338" s="705" t="s">
        <v>47</v>
      </c>
      <c r="D338" s="705" t="s">
        <v>99</v>
      </c>
      <c r="E338" s="735" t="s">
        <v>22</v>
      </c>
      <c r="F338" s="736" t="s">
        <v>100</v>
      </c>
      <c r="G338" s="831">
        <f>ROUND(armatura!G352,2)</f>
        <v>515.15</v>
      </c>
      <c r="H338" s="704" t="s">
        <v>138</v>
      </c>
      <c r="I338" s="705" t="s">
        <v>163</v>
      </c>
      <c r="J338" s="752">
        <v>125</v>
      </c>
      <c r="K338" s="709"/>
      <c r="L338" s="708" t="s">
        <v>103</v>
      </c>
    </row>
    <row r="339" spans="1:12" hidden="1">
      <c r="A339" s="689" t="s">
        <v>160</v>
      </c>
      <c r="B339" s="750" t="s">
        <v>162</v>
      </c>
      <c r="C339" s="705" t="s">
        <v>49</v>
      </c>
      <c r="D339" s="705" t="s">
        <v>104</v>
      </c>
      <c r="E339" s="735" t="s">
        <v>24</v>
      </c>
      <c r="F339" s="736" t="s">
        <v>100</v>
      </c>
      <c r="G339" s="831">
        <f>ROUND(armatura!G353,2)</f>
        <v>526.6</v>
      </c>
      <c r="H339" s="704" t="s">
        <v>138</v>
      </c>
      <c r="I339" s="705" t="s">
        <v>163</v>
      </c>
      <c r="J339" s="752">
        <v>125</v>
      </c>
      <c r="K339" s="709"/>
      <c r="L339" s="708" t="s">
        <v>103</v>
      </c>
    </row>
    <row r="340" spans="1:12" hidden="1">
      <c r="A340" s="689" t="s">
        <v>160</v>
      </c>
      <c r="B340" s="750" t="s">
        <v>162</v>
      </c>
      <c r="C340" s="705" t="s">
        <v>51</v>
      </c>
      <c r="D340" s="705" t="s">
        <v>105</v>
      </c>
      <c r="E340" s="735" t="s">
        <v>26</v>
      </c>
      <c r="F340" s="736" t="s">
        <v>100</v>
      </c>
      <c r="G340" s="831">
        <f>ROUND(armatura!G354,2)</f>
        <v>628.75</v>
      </c>
      <c r="H340" s="704" t="s">
        <v>138</v>
      </c>
      <c r="I340" s="705" t="s">
        <v>163</v>
      </c>
      <c r="J340" s="752">
        <v>160</v>
      </c>
      <c r="K340" s="709"/>
      <c r="L340" s="708" t="s">
        <v>103</v>
      </c>
    </row>
    <row r="341" spans="1:12" hidden="1">
      <c r="A341" s="689" t="s">
        <v>160</v>
      </c>
      <c r="B341" s="750" t="s">
        <v>162</v>
      </c>
      <c r="C341" s="705" t="s">
        <v>53</v>
      </c>
      <c r="D341" s="705" t="s">
        <v>106</v>
      </c>
      <c r="E341" s="735" t="s">
        <v>28</v>
      </c>
      <c r="F341" s="736" t="s">
        <v>100</v>
      </c>
      <c r="G341" s="831">
        <f>ROUND(armatura!G355,2)</f>
        <v>754.65</v>
      </c>
      <c r="H341" s="704" t="s">
        <v>138</v>
      </c>
      <c r="I341" s="705" t="s">
        <v>163</v>
      </c>
      <c r="J341" s="752">
        <v>160</v>
      </c>
      <c r="K341" s="709"/>
      <c r="L341" s="708" t="s">
        <v>103</v>
      </c>
    </row>
    <row r="342" spans="1:12" hidden="1">
      <c r="A342" s="689" t="s">
        <v>160</v>
      </c>
      <c r="B342" s="750" t="s">
        <v>162</v>
      </c>
      <c r="C342" s="705" t="s">
        <v>55</v>
      </c>
      <c r="D342" s="705" t="s">
        <v>107</v>
      </c>
      <c r="E342" s="735" t="s">
        <v>30</v>
      </c>
      <c r="F342" s="736" t="s">
        <v>100</v>
      </c>
      <c r="G342" s="831">
        <f>ROUND(armatura!G356,2)</f>
        <v>939.3</v>
      </c>
      <c r="H342" s="704" t="s">
        <v>138</v>
      </c>
      <c r="I342" s="705" t="s">
        <v>163</v>
      </c>
      <c r="J342" s="752">
        <v>160</v>
      </c>
      <c r="K342" s="709"/>
      <c r="L342" s="708" t="s">
        <v>103</v>
      </c>
    </row>
    <row r="343" spans="1:12" hidden="1">
      <c r="A343" s="689" t="s">
        <v>160</v>
      </c>
      <c r="B343" s="750" t="s">
        <v>162</v>
      </c>
      <c r="C343" s="705" t="s">
        <v>57</v>
      </c>
      <c r="D343" s="705" t="s">
        <v>31</v>
      </c>
      <c r="E343" s="735" t="s">
        <v>32</v>
      </c>
      <c r="F343" s="736" t="s">
        <v>100</v>
      </c>
      <c r="G343" s="831">
        <f>ROUND(armatura!G357,2)</f>
        <v>1284.55</v>
      </c>
      <c r="H343" s="704" t="s">
        <v>138</v>
      </c>
      <c r="I343" s="705" t="s">
        <v>163</v>
      </c>
      <c r="J343" s="752">
        <v>200</v>
      </c>
      <c r="K343" s="709"/>
      <c r="L343" s="708" t="s">
        <v>103</v>
      </c>
    </row>
    <row r="344" spans="1:12" hidden="1">
      <c r="A344" s="689" t="s">
        <v>160</v>
      </c>
      <c r="B344" s="750" t="s">
        <v>162</v>
      </c>
      <c r="C344" s="705" t="s">
        <v>59</v>
      </c>
      <c r="D344" s="844" t="s">
        <v>33</v>
      </c>
      <c r="E344" s="845" t="s">
        <v>34</v>
      </c>
      <c r="F344" s="736" t="s">
        <v>100</v>
      </c>
      <c r="G344" s="831">
        <f>ROUND(armatura!G358,2)</f>
        <v>1726.2</v>
      </c>
      <c r="H344" s="704" t="s">
        <v>138</v>
      </c>
      <c r="I344" s="705" t="s">
        <v>164</v>
      </c>
      <c r="J344" s="752">
        <v>300</v>
      </c>
      <c r="K344" s="709"/>
      <c r="L344" s="708" t="s">
        <v>103</v>
      </c>
    </row>
    <row r="345" spans="1:12" hidden="1">
      <c r="A345" s="689" t="s">
        <v>160</v>
      </c>
      <c r="B345" s="750" t="s">
        <v>162</v>
      </c>
      <c r="C345" s="705" t="s">
        <v>60</v>
      </c>
      <c r="D345" s="700" t="s">
        <v>35</v>
      </c>
      <c r="E345" s="735" t="s">
        <v>36</v>
      </c>
      <c r="F345" s="736" t="s">
        <v>100</v>
      </c>
      <c r="G345" s="831">
        <f>ROUND(armatura!G359,2)</f>
        <v>2202.75</v>
      </c>
      <c r="H345" s="704" t="s">
        <v>138</v>
      </c>
      <c r="I345" s="705" t="s">
        <v>164</v>
      </c>
      <c r="J345" s="752">
        <v>300</v>
      </c>
      <c r="K345" s="709"/>
      <c r="L345" s="708" t="s">
        <v>103</v>
      </c>
    </row>
    <row r="346" spans="1:12" hidden="1">
      <c r="A346" s="689" t="s">
        <v>160</v>
      </c>
      <c r="B346" s="750" t="s">
        <v>162</v>
      </c>
      <c r="C346" s="705" t="s">
        <v>62</v>
      </c>
      <c r="D346" s="844" t="s">
        <v>37</v>
      </c>
      <c r="E346" s="735" t="s">
        <v>38</v>
      </c>
      <c r="F346" s="736" t="s">
        <v>100</v>
      </c>
      <c r="G346" s="831">
        <f>ROUND(armatura!G360,2)</f>
        <v>2743.45</v>
      </c>
      <c r="H346" s="704" t="s">
        <v>138</v>
      </c>
      <c r="I346" s="705" t="s">
        <v>164</v>
      </c>
      <c r="J346" s="752">
        <v>360</v>
      </c>
      <c r="K346" s="709"/>
      <c r="L346" s="708" t="s">
        <v>103</v>
      </c>
    </row>
    <row r="347" spans="1:12" hidden="1">
      <c r="A347" s="689" t="s">
        <v>160</v>
      </c>
      <c r="B347" s="750" t="s">
        <v>162</v>
      </c>
      <c r="C347" s="705" t="s">
        <v>63</v>
      </c>
      <c r="D347" s="734" t="s">
        <v>64</v>
      </c>
      <c r="E347" s="735">
        <v>5</v>
      </c>
      <c r="F347" s="736" t="s">
        <v>100</v>
      </c>
      <c r="G347" s="831">
        <f>ROUND(armatura!G361,2)</f>
        <v>7327.8</v>
      </c>
      <c r="H347" s="704" t="s">
        <v>138</v>
      </c>
      <c r="I347" s="705" t="s">
        <v>164</v>
      </c>
      <c r="J347" s="752">
        <v>450</v>
      </c>
      <c r="K347" s="709"/>
      <c r="L347" s="708" t="s">
        <v>103</v>
      </c>
    </row>
    <row r="348" spans="1:12" hidden="1">
      <c r="A348" s="689" t="s">
        <v>160</v>
      </c>
      <c r="B348" s="750" t="s">
        <v>162</v>
      </c>
      <c r="C348" s="705" t="s">
        <v>66</v>
      </c>
      <c r="D348" s="734" t="s">
        <v>120</v>
      </c>
      <c r="E348" s="735">
        <v>6</v>
      </c>
      <c r="F348" s="736" t="s">
        <v>100</v>
      </c>
      <c r="G348" s="831">
        <f>ROUND(armatura!G362,2)</f>
        <v>8649.2999999999993</v>
      </c>
      <c r="H348" s="704" t="s">
        <v>138</v>
      </c>
      <c r="I348" s="705" t="s">
        <v>164</v>
      </c>
      <c r="J348" s="752">
        <v>560</v>
      </c>
      <c r="K348" s="709"/>
      <c r="L348" s="708" t="s">
        <v>103</v>
      </c>
    </row>
    <row r="349" spans="1:12" hidden="1">
      <c r="A349" s="689" t="s">
        <v>160</v>
      </c>
      <c r="B349" s="750" t="s">
        <v>162</v>
      </c>
      <c r="C349" s="705" t="s">
        <v>121</v>
      </c>
      <c r="D349" s="734" t="s">
        <v>154</v>
      </c>
      <c r="E349" s="735">
        <v>8</v>
      </c>
      <c r="F349" s="736" t="s">
        <v>100</v>
      </c>
      <c r="G349" s="831">
        <f>ROUND(armatura!G363,2)</f>
        <v>60196.2</v>
      </c>
      <c r="H349" s="704" t="s">
        <v>138</v>
      </c>
      <c r="I349" s="705" t="s">
        <v>165</v>
      </c>
      <c r="J349" s="752">
        <v>650</v>
      </c>
      <c r="K349" s="709"/>
      <c r="L349" s="708" t="s">
        <v>16</v>
      </c>
    </row>
    <row r="350" spans="1:12" hidden="1">
      <c r="A350" s="689" t="s">
        <v>160</v>
      </c>
      <c r="B350" s="750" t="s">
        <v>162</v>
      </c>
      <c r="C350" s="705" t="s">
        <v>122</v>
      </c>
      <c r="D350" s="734" t="s">
        <v>155</v>
      </c>
      <c r="E350" s="735">
        <v>10</v>
      </c>
      <c r="F350" s="736" t="s">
        <v>100</v>
      </c>
      <c r="G350" s="831">
        <f>ROUND(armatura!G364,2)</f>
        <v>79413.149999999994</v>
      </c>
      <c r="H350" s="704" t="s">
        <v>138</v>
      </c>
      <c r="I350" s="705" t="s">
        <v>165</v>
      </c>
      <c r="J350" s="752">
        <v>700</v>
      </c>
      <c r="K350" s="709"/>
      <c r="L350" s="708" t="s">
        <v>103</v>
      </c>
    </row>
    <row r="351" spans="1:12" hidden="1">
      <c r="A351" s="689" t="s">
        <v>160</v>
      </c>
      <c r="B351" s="750" t="s">
        <v>162</v>
      </c>
      <c r="C351" s="705" t="s">
        <v>156</v>
      </c>
      <c r="D351" s="734"/>
      <c r="E351" s="735"/>
      <c r="F351" s="736" t="s">
        <v>100</v>
      </c>
      <c r="G351" s="831">
        <f>ROUND(armatura!G365,2)</f>
        <v>109922.15</v>
      </c>
      <c r="H351" s="704" t="s">
        <v>138</v>
      </c>
      <c r="I351" s="705" t="s">
        <v>165</v>
      </c>
      <c r="J351" s="752">
        <v>850</v>
      </c>
      <c r="K351" s="709"/>
      <c r="L351" s="708" t="s">
        <v>103</v>
      </c>
    </row>
    <row r="352" spans="1:12" hidden="1">
      <c r="A352" s="689" t="s">
        <v>160</v>
      </c>
      <c r="B352" s="750" t="s">
        <v>166</v>
      </c>
      <c r="C352" s="705"/>
      <c r="D352" s="734"/>
      <c r="E352" s="735"/>
      <c r="F352" s="736" t="s">
        <v>100</v>
      </c>
      <c r="G352" s="831"/>
      <c r="H352" s="704"/>
      <c r="I352" s="705"/>
      <c r="J352" s="752">
        <v>50</v>
      </c>
      <c r="K352" s="709"/>
      <c r="L352" s="708" t="s">
        <v>103</v>
      </c>
    </row>
    <row r="353" spans="1:12" hidden="1">
      <c r="A353" s="689" t="s">
        <v>160</v>
      </c>
      <c r="B353" s="754"/>
      <c r="C353" s="691"/>
      <c r="D353" s="755"/>
      <c r="E353" s="692"/>
      <c r="F353" s="693"/>
      <c r="G353" s="832"/>
      <c r="H353" s="695"/>
      <c r="I353" s="691"/>
      <c r="J353" s="753"/>
      <c r="K353" s="709"/>
      <c r="L353" s="708" t="s">
        <v>103</v>
      </c>
    </row>
    <row r="354" spans="1:12" hidden="1">
      <c r="A354" s="689" t="s">
        <v>160</v>
      </c>
      <c r="B354" s="750" t="s">
        <v>167</v>
      </c>
      <c r="C354" s="705" t="s">
        <v>47</v>
      </c>
      <c r="D354" s="734" t="s">
        <v>99</v>
      </c>
      <c r="E354" s="744">
        <v>0.5</v>
      </c>
      <c r="F354" s="736" t="s">
        <v>100</v>
      </c>
      <c r="G354" s="831">
        <f>ROUND(armatura!G367,2)</f>
        <v>1379</v>
      </c>
      <c r="H354" s="704" t="s">
        <v>138</v>
      </c>
      <c r="I354" s="705" t="s">
        <v>163</v>
      </c>
      <c r="J354" s="752">
        <f>J338+J352</f>
        <v>175</v>
      </c>
      <c r="K354" s="709"/>
      <c r="L354" s="708" t="s">
        <v>103</v>
      </c>
    </row>
    <row r="355" spans="1:12" hidden="1">
      <c r="A355" s="689" t="s">
        <v>160</v>
      </c>
      <c r="B355" s="750" t="s">
        <v>167</v>
      </c>
      <c r="C355" s="705" t="s">
        <v>49</v>
      </c>
      <c r="D355" s="734" t="s">
        <v>104</v>
      </c>
      <c r="E355" s="744">
        <v>0.75</v>
      </c>
      <c r="F355" s="736" t="s">
        <v>100</v>
      </c>
      <c r="G355" s="831">
        <f>ROUND(armatura!G368,2)</f>
        <v>1390.45</v>
      </c>
      <c r="H355" s="704" t="s">
        <v>138</v>
      </c>
      <c r="I355" s="705" t="s">
        <v>163</v>
      </c>
      <c r="J355" s="752">
        <f>J339+J352</f>
        <v>175</v>
      </c>
      <c r="K355" s="709"/>
      <c r="L355" s="708" t="s">
        <v>103</v>
      </c>
    </row>
    <row r="356" spans="1:12" hidden="1">
      <c r="A356" s="689" t="s">
        <v>160</v>
      </c>
      <c r="B356" s="750" t="s">
        <v>167</v>
      </c>
      <c r="C356" s="705" t="s">
        <v>51</v>
      </c>
      <c r="D356" s="734" t="s">
        <v>105</v>
      </c>
      <c r="E356" s="744">
        <v>1</v>
      </c>
      <c r="F356" s="736" t="s">
        <v>100</v>
      </c>
      <c r="G356" s="831">
        <f>ROUND(armatura!G369,2)</f>
        <v>1492.6</v>
      </c>
      <c r="H356" s="704" t="s">
        <v>138</v>
      </c>
      <c r="I356" s="705" t="s">
        <v>163</v>
      </c>
      <c r="J356" s="752">
        <f>J340+J352</f>
        <v>210</v>
      </c>
      <c r="K356" s="709"/>
      <c r="L356" s="708" t="s">
        <v>103</v>
      </c>
    </row>
    <row r="357" spans="1:12" hidden="1">
      <c r="A357" s="689" t="s">
        <v>160</v>
      </c>
      <c r="B357" s="750" t="s">
        <v>167</v>
      </c>
      <c r="C357" s="705" t="s">
        <v>53</v>
      </c>
      <c r="D357" s="734" t="s">
        <v>106</v>
      </c>
      <c r="E357" s="744">
        <v>1.25</v>
      </c>
      <c r="F357" s="736" t="s">
        <v>100</v>
      </c>
      <c r="G357" s="831">
        <f>ROUND(armatura!G370,2)</f>
        <v>1618.5</v>
      </c>
      <c r="H357" s="704" t="s">
        <v>138</v>
      </c>
      <c r="I357" s="705" t="s">
        <v>163</v>
      </c>
      <c r="J357" s="752">
        <f>J341+J352</f>
        <v>210</v>
      </c>
      <c r="K357" s="709"/>
      <c r="L357" s="708" t="s">
        <v>103</v>
      </c>
    </row>
    <row r="358" spans="1:12" hidden="1">
      <c r="A358" s="689" t="s">
        <v>160</v>
      </c>
      <c r="B358" s="750" t="s">
        <v>167</v>
      </c>
      <c r="C358" s="705" t="s">
        <v>55</v>
      </c>
      <c r="D358" s="734" t="s">
        <v>107</v>
      </c>
      <c r="E358" s="744">
        <v>1.5</v>
      </c>
      <c r="F358" s="736" t="s">
        <v>100</v>
      </c>
      <c r="G358" s="831">
        <f>ROUND(armatura!G371,2)</f>
        <v>1803.15</v>
      </c>
      <c r="H358" s="704" t="s">
        <v>138</v>
      </c>
      <c r="I358" s="705" t="s">
        <v>163</v>
      </c>
      <c r="J358" s="752">
        <f>J342+J352</f>
        <v>210</v>
      </c>
      <c r="K358" s="709"/>
      <c r="L358" s="708" t="s">
        <v>103</v>
      </c>
    </row>
    <row r="359" spans="1:12" hidden="1">
      <c r="A359" s="689" t="s">
        <v>160</v>
      </c>
      <c r="B359" s="750" t="s">
        <v>167</v>
      </c>
      <c r="C359" s="705" t="s">
        <v>57</v>
      </c>
      <c r="D359" s="734" t="s">
        <v>31</v>
      </c>
      <c r="E359" s="744">
        <v>2</v>
      </c>
      <c r="F359" s="736" t="s">
        <v>100</v>
      </c>
      <c r="G359" s="831">
        <f>ROUND(armatura!G372,2)</f>
        <v>2902.55</v>
      </c>
      <c r="H359" s="704" t="s">
        <v>138</v>
      </c>
      <c r="I359" s="705" t="s">
        <v>163</v>
      </c>
      <c r="J359" s="752">
        <f>J343+J352</f>
        <v>250</v>
      </c>
      <c r="K359" s="709"/>
      <c r="L359" s="708" t="s">
        <v>103</v>
      </c>
    </row>
    <row r="360" spans="1:12" hidden="1">
      <c r="A360" s="689" t="s">
        <v>160</v>
      </c>
      <c r="B360" s="750" t="s">
        <v>167</v>
      </c>
      <c r="C360" s="705" t="s">
        <v>59</v>
      </c>
      <c r="D360" s="844" t="s">
        <v>33</v>
      </c>
      <c r="E360" s="845" t="s">
        <v>34</v>
      </c>
      <c r="F360" s="736" t="s">
        <v>100</v>
      </c>
      <c r="G360" s="831">
        <f>ROUND(armatura!G373,2)</f>
        <v>4656.8</v>
      </c>
      <c r="H360" s="704" t="s">
        <v>138</v>
      </c>
      <c r="I360" s="705" t="s">
        <v>164</v>
      </c>
      <c r="J360" s="752">
        <f>J344+J352</f>
        <v>350</v>
      </c>
      <c r="K360" s="709"/>
      <c r="L360" s="708" t="s">
        <v>103</v>
      </c>
    </row>
    <row r="361" spans="1:12" hidden="1">
      <c r="A361" s="689" t="s">
        <v>160</v>
      </c>
      <c r="B361" s="750" t="s">
        <v>167</v>
      </c>
      <c r="C361" s="705" t="s">
        <v>60</v>
      </c>
      <c r="D361" s="700" t="s">
        <v>35</v>
      </c>
      <c r="E361" s="744">
        <v>3</v>
      </c>
      <c r="F361" s="736" t="s">
        <v>100</v>
      </c>
      <c r="G361" s="831">
        <f>ROUND(armatura!G374,2)</f>
        <v>5133.3500000000004</v>
      </c>
      <c r="H361" s="704" t="s">
        <v>138</v>
      </c>
      <c r="I361" s="705" t="s">
        <v>164</v>
      </c>
      <c r="J361" s="752">
        <f>J345+J352</f>
        <v>350</v>
      </c>
      <c r="K361" s="709"/>
      <c r="L361" s="708" t="s">
        <v>103</v>
      </c>
    </row>
    <row r="362" spans="1:12" hidden="1">
      <c r="A362" s="689" t="s">
        <v>160</v>
      </c>
      <c r="B362" s="750" t="s">
        <v>167</v>
      </c>
      <c r="C362" s="705" t="s">
        <v>62</v>
      </c>
      <c r="D362" s="844" t="s">
        <v>37</v>
      </c>
      <c r="E362" s="744">
        <v>4</v>
      </c>
      <c r="F362" s="736" t="s">
        <v>100</v>
      </c>
      <c r="G362" s="831">
        <f>ROUND(armatura!G375,2)</f>
        <v>5674.05</v>
      </c>
      <c r="H362" s="704" t="s">
        <v>138</v>
      </c>
      <c r="I362" s="705" t="s">
        <v>164</v>
      </c>
      <c r="J362" s="752">
        <f>J346+J352</f>
        <v>410</v>
      </c>
      <c r="K362" s="709"/>
      <c r="L362" s="708" t="s">
        <v>103</v>
      </c>
    </row>
    <row r="363" spans="1:12" hidden="1">
      <c r="A363" s="689" t="s">
        <v>160</v>
      </c>
      <c r="B363" s="750" t="s">
        <v>167</v>
      </c>
      <c r="C363" s="705" t="s">
        <v>63</v>
      </c>
      <c r="D363" s="734" t="s">
        <v>168</v>
      </c>
      <c r="E363" s="744">
        <v>5</v>
      </c>
      <c r="F363" s="736" t="s">
        <v>100</v>
      </c>
      <c r="G363" s="831">
        <f>ROUND(armatura!G376,2)</f>
        <v>11362.45</v>
      </c>
      <c r="H363" s="704" t="s">
        <v>138</v>
      </c>
      <c r="I363" s="705" t="s">
        <v>164</v>
      </c>
      <c r="J363" s="752">
        <f>J347+J352</f>
        <v>500</v>
      </c>
      <c r="K363" s="709"/>
      <c r="L363" s="708" t="s">
        <v>103</v>
      </c>
    </row>
    <row r="364" spans="1:12" hidden="1">
      <c r="A364" s="689" t="s">
        <v>160</v>
      </c>
      <c r="B364" s="750" t="s">
        <v>167</v>
      </c>
      <c r="C364" s="705" t="s">
        <v>66</v>
      </c>
      <c r="D364" s="734" t="s">
        <v>169</v>
      </c>
      <c r="E364" s="744">
        <v>6</v>
      </c>
      <c r="F364" s="736" t="s">
        <v>100</v>
      </c>
      <c r="G364" s="831">
        <f>ROUND(armatura!G377,2)</f>
        <v>12683.95</v>
      </c>
      <c r="H364" s="704" t="s">
        <v>138</v>
      </c>
      <c r="I364" s="705" t="s">
        <v>164</v>
      </c>
      <c r="J364" s="752">
        <f>J348+J352</f>
        <v>610</v>
      </c>
      <c r="K364" s="709"/>
      <c r="L364" s="708" t="s">
        <v>103</v>
      </c>
    </row>
    <row r="365" spans="1:12" hidden="1">
      <c r="A365" s="689" t="s">
        <v>160</v>
      </c>
      <c r="B365" s="750" t="s">
        <v>167</v>
      </c>
      <c r="C365" s="705" t="s">
        <v>121</v>
      </c>
      <c r="D365" s="734" t="s">
        <v>170</v>
      </c>
      <c r="E365" s="744">
        <v>8</v>
      </c>
      <c r="F365" s="736" t="s">
        <v>100</v>
      </c>
      <c r="G365" s="831">
        <f>ROUND(armatura!G378,2)</f>
        <v>64230.85</v>
      </c>
      <c r="H365" s="704" t="s">
        <v>138</v>
      </c>
      <c r="I365" s="705" t="s">
        <v>165</v>
      </c>
      <c r="J365" s="752">
        <f>J349+J352</f>
        <v>700</v>
      </c>
      <c r="K365" s="709"/>
      <c r="L365" s="708" t="s">
        <v>103</v>
      </c>
    </row>
    <row r="366" spans="1:12" hidden="1">
      <c r="A366" s="689" t="s">
        <v>160</v>
      </c>
      <c r="B366" s="750" t="s">
        <v>167</v>
      </c>
      <c r="C366" s="705" t="s">
        <v>122</v>
      </c>
      <c r="D366" s="734" t="s">
        <v>171</v>
      </c>
      <c r="E366" s="744">
        <v>10</v>
      </c>
      <c r="F366" s="736" t="s">
        <v>100</v>
      </c>
      <c r="G366" s="831">
        <f>ROUND(armatura!G379,2)</f>
        <v>89458.85</v>
      </c>
      <c r="H366" s="704" t="s">
        <v>138</v>
      </c>
      <c r="I366" s="705" t="s">
        <v>165</v>
      </c>
      <c r="J366" s="752">
        <f>J350+J352</f>
        <v>750</v>
      </c>
      <c r="K366" s="709"/>
      <c r="L366" s="756" t="s">
        <v>16</v>
      </c>
    </row>
    <row r="367" spans="1:12" hidden="1">
      <c r="A367" s="689" t="s">
        <v>160</v>
      </c>
      <c r="B367" s="750" t="s">
        <v>167</v>
      </c>
      <c r="C367" s="705" t="s">
        <v>156</v>
      </c>
      <c r="D367" s="734" t="s">
        <v>172</v>
      </c>
      <c r="E367" s="744">
        <v>12</v>
      </c>
      <c r="F367" s="736" t="s">
        <v>100</v>
      </c>
      <c r="G367" s="831">
        <f>ROUND(armatura!G380,2)</f>
        <v>119967.85</v>
      </c>
      <c r="H367" s="704" t="s">
        <v>138</v>
      </c>
      <c r="I367" s="705" t="s">
        <v>165</v>
      </c>
      <c r="J367" s="752">
        <f>J351+J352</f>
        <v>900</v>
      </c>
      <c r="K367" s="709"/>
      <c r="L367" s="757"/>
    </row>
    <row r="368" spans="1:12" hidden="1">
      <c r="A368" s="689" t="s">
        <v>160</v>
      </c>
      <c r="B368" s="722"/>
      <c r="C368" s="691"/>
      <c r="D368" s="691"/>
      <c r="E368" s="692"/>
      <c r="F368" s="693"/>
      <c r="G368" s="749"/>
      <c r="H368" s="695"/>
      <c r="I368" s="691"/>
      <c r="J368" s="690"/>
      <c r="K368" s="709"/>
      <c r="L368" s="757"/>
    </row>
    <row r="369" spans="1:12" hidden="1">
      <c r="A369" s="689" t="s">
        <v>160</v>
      </c>
      <c r="B369" s="724" t="s">
        <v>173</v>
      </c>
      <c r="C369" s="734" t="s">
        <v>57</v>
      </c>
      <c r="D369" s="705" t="s">
        <v>31</v>
      </c>
      <c r="E369" s="735" t="s">
        <v>32</v>
      </c>
      <c r="F369" s="736" t="s">
        <v>100</v>
      </c>
      <c r="G369" s="828">
        <f>ROUND(armatura!G112,2)</f>
        <v>340.1</v>
      </c>
      <c r="H369" s="704" t="s">
        <v>113</v>
      </c>
      <c r="I369" s="736" t="s">
        <v>174</v>
      </c>
      <c r="J369" s="738">
        <v>75</v>
      </c>
      <c r="K369" s="709"/>
      <c r="L369" s="757"/>
    </row>
    <row r="370" spans="1:12" hidden="1">
      <c r="A370" s="689" t="s">
        <v>160</v>
      </c>
      <c r="B370" s="724" t="s">
        <v>173</v>
      </c>
      <c r="C370" s="734" t="s">
        <v>59</v>
      </c>
      <c r="D370" s="844" t="s">
        <v>33</v>
      </c>
      <c r="E370" s="845" t="s">
        <v>34</v>
      </c>
      <c r="F370" s="736" t="s">
        <v>100</v>
      </c>
      <c r="G370" s="828">
        <f>ROUND(armatura!G113,2)</f>
        <v>451.91</v>
      </c>
      <c r="H370" s="704" t="s">
        <v>113</v>
      </c>
      <c r="I370" s="736" t="s">
        <v>174</v>
      </c>
      <c r="J370" s="738">
        <v>120</v>
      </c>
      <c r="K370" s="709"/>
      <c r="L370" s="757"/>
    </row>
    <row r="371" spans="1:12" hidden="1">
      <c r="A371" s="689" t="s">
        <v>160</v>
      </c>
      <c r="B371" s="724" t="s">
        <v>173</v>
      </c>
      <c r="C371" s="734" t="s">
        <v>60</v>
      </c>
      <c r="D371" s="700" t="s">
        <v>35</v>
      </c>
      <c r="E371" s="735" t="s">
        <v>36</v>
      </c>
      <c r="F371" s="736" t="s">
        <v>100</v>
      </c>
      <c r="G371" s="828">
        <f>ROUND(armatura!G114,2)</f>
        <v>526.45000000000005</v>
      </c>
      <c r="H371" s="704" t="s">
        <v>113</v>
      </c>
      <c r="I371" s="736" t="s">
        <v>174</v>
      </c>
      <c r="J371" s="738">
        <v>150</v>
      </c>
      <c r="K371" s="709"/>
      <c r="L371" s="757"/>
    </row>
    <row r="372" spans="1:12" hidden="1">
      <c r="A372" s="689" t="s">
        <v>160</v>
      </c>
      <c r="B372" s="724" t="s">
        <v>173</v>
      </c>
      <c r="C372" s="734" t="s">
        <v>62</v>
      </c>
      <c r="D372" s="844" t="s">
        <v>37</v>
      </c>
      <c r="E372" s="735" t="s">
        <v>38</v>
      </c>
      <c r="F372" s="736" t="s">
        <v>100</v>
      </c>
      <c r="G372" s="828">
        <f>ROUND(armatura!G115,2)</f>
        <v>637.69000000000005</v>
      </c>
      <c r="H372" s="704" t="s">
        <v>113</v>
      </c>
      <c r="I372" s="736" t="s">
        <v>174</v>
      </c>
      <c r="J372" s="738">
        <v>162</v>
      </c>
      <c r="K372" s="709"/>
      <c r="L372" s="757"/>
    </row>
    <row r="373" spans="1:12" hidden="1">
      <c r="A373" s="689" t="s">
        <v>160</v>
      </c>
      <c r="B373" s="724" t="s">
        <v>173</v>
      </c>
      <c r="C373" s="734" t="s">
        <v>63</v>
      </c>
      <c r="D373" s="737" t="s">
        <v>168</v>
      </c>
      <c r="E373" s="735">
        <v>5</v>
      </c>
      <c r="F373" s="736" t="s">
        <v>100</v>
      </c>
      <c r="G373" s="828">
        <f>ROUND(armatura!G116,2)</f>
        <v>803.92</v>
      </c>
      <c r="H373" s="704" t="s">
        <v>113</v>
      </c>
      <c r="I373" s="736" t="s">
        <v>174</v>
      </c>
      <c r="J373" s="738">
        <v>200</v>
      </c>
      <c r="K373" s="709"/>
      <c r="L373" s="757"/>
    </row>
    <row r="374" spans="1:12" hidden="1">
      <c r="A374" s="689" t="s">
        <v>160</v>
      </c>
      <c r="B374" s="724" t="s">
        <v>173</v>
      </c>
      <c r="C374" s="734" t="s">
        <v>66</v>
      </c>
      <c r="D374" s="737" t="s">
        <v>169</v>
      </c>
      <c r="E374" s="735">
        <v>6</v>
      </c>
      <c r="F374" s="736" t="s">
        <v>100</v>
      </c>
      <c r="G374" s="828">
        <f>ROUND(armatura!G117,2)</f>
        <v>904.25</v>
      </c>
      <c r="H374" s="704" t="s">
        <v>113</v>
      </c>
      <c r="I374" s="736" t="s">
        <v>174</v>
      </c>
      <c r="J374" s="738">
        <v>250</v>
      </c>
      <c r="K374" s="709"/>
      <c r="L374" s="757"/>
    </row>
    <row r="375" spans="1:12" hidden="1">
      <c r="A375" s="689" t="s">
        <v>160</v>
      </c>
      <c r="B375" s="724" t="s">
        <v>173</v>
      </c>
      <c r="C375" s="734" t="s">
        <v>121</v>
      </c>
      <c r="D375" s="737" t="s">
        <v>170</v>
      </c>
      <c r="E375" s="735">
        <v>8</v>
      </c>
      <c r="F375" s="736" t="s">
        <v>100</v>
      </c>
      <c r="G375" s="828">
        <f>ROUND(armatura!G118,2)</f>
        <v>2511.34</v>
      </c>
      <c r="H375" s="704" t="s">
        <v>113</v>
      </c>
      <c r="I375" s="736" t="s">
        <v>174</v>
      </c>
      <c r="J375" s="738">
        <v>325</v>
      </c>
      <c r="K375" s="709"/>
      <c r="L375" s="757"/>
    </row>
    <row r="376" spans="1:12" hidden="1">
      <c r="A376" s="689" t="s">
        <v>160</v>
      </c>
      <c r="B376" s="724" t="s">
        <v>173</v>
      </c>
      <c r="C376" s="734" t="s">
        <v>122</v>
      </c>
      <c r="D376" s="737" t="s">
        <v>171</v>
      </c>
      <c r="E376" s="735">
        <v>10</v>
      </c>
      <c r="F376" s="736" t="s">
        <v>100</v>
      </c>
      <c r="G376" s="828">
        <f>ROUND(armatura!G119,2)</f>
        <v>4007.53</v>
      </c>
      <c r="H376" s="704" t="s">
        <v>113</v>
      </c>
      <c r="I376" s="736" t="s">
        <v>174</v>
      </c>
      <c r="J376" s="738">
        <v>400</v>
      </c>
      <c r="K376" s="709"/>
      <c r="L376" s="757"/>
    </row>
    <row r="377" spans="1:12" hidden="1">
      <c r="A377" s="689" t="s">
        <v>160</v>
      </c>
      <c r="B377" s="724" t="s">
        <v>173</v>
      </c>
      <c r="C377" s="734" t="s">
        <v>156</v>
      </c>
      <c r="D377" s="737" t="s">
        <v>172</v>
      </c>
      <c r="E377" s="735">
        <v>12</v>
      </c>
      <c r="F377" s="736" t="s">
        <v>100</v>
      </c>
      <c r="G377" s="828">
        <f>ROUND(armatura!G120,2)</f>
        <v>5017.5</v>
      </c>
      <c r="H377" s="704" t="s">
        <v>113</v>
      </c>
      <c r="I377" s="736" t="s">
        <v>174</v>
      </c>
      <c r="J377" s="738">
        <v>487</v>
      </c>
      <c r="K377" s="709"/>
      <c r="L377" s="757"/>
    </row>
    <row r="378" spans="1:12" hidden="1">
      <c r="A378" s="689" t="s">
        <v>160</v>
      </c>
      <c r="B378" s="724" t="s">
        <v>173</v>
      </c>
      <c r="C378" s="734" t="s">
        <v>158</v>
      </c>
      <c r="D378" s="737" t="s">
        <v>175</v>
      </c>
      <c r="E378" s="735">
        <v>14</v>
      </c>
      <c r="F378" s="736" t="s">
        <v>100</v>
      </c>
      <c r="G378" s="828">
        <f>ROUND(armatura!G121,2)</f>
        <v>9280.2199999999993</v>
      </c>
      <c r="H378" s="704" t="s">
        <v>113</v>
      </c>
      <c r="I378" s="736" t="s">
        <v>174</v>
      </c>
      <c r="J378" s="738">
        <v>562</v>
      </c>
      <c r="K378" s="709"/>
      <c r="L378" s="757"/>
    </row>
    <row r="379" spans="1:12" hidden="1">
      <c r="A379" s="689" t="s">
        <v>160</v>
      </c>
      <c r="B379" s="724" t="s">
        <v>173</v>
      </c>
      <c r="C379" s="734" t="s">
        <v>176</v>
      </c>
      <c r="D379" s="737" t="s">
        <v>177</v>
      </c>
      <c r="E379" s="735">
        <v>16</v>
      </c>
      <c r="F379" s="736" t="s">
        <v>100</v>
      </c>
      <c r="G379" s="828">
        <f>ROUND(armatura!G122,2)</f>
        <v>11313.74</v>
      </c>
      <c r="H379" s="704" t="s">
        <v>113</v>
      </c>
      <c r="I379" s="736" t="s">
        <v>174</v>
      </c>
      <c r="J379" s="738">
        <v>650</v>
      </c>
      <c r="K379" s="709"/>
      <c r="L379" s="757"/>
    </row>
    <row r="380" spans="1:12" hidden="1">
      <c r="A380" s="689" t="s">
        <v>160</v>
      </c>
      <c r="B380" s="724" t="s">
        <v>173</v>
      </c>
      <c r="C380" s="734" t="s">
        <v>178</v>
      </c>
      <c r="D380" s="734" t="s">
        <v>179</v>
      </c>
      <c r="E380" s="735">
        <v>20</v>
      </c>
      <c r="F380" s="736" t="s">
        <v>100</v>
      </c>
      <c r="G380" s="828">
        <f>ROUND(armatura!G123,2)</f>
        <v>19244.18</v>
      </c>
      <c r="H380" s="704" t="s">
        <v>113</v>
      </c>
      <c r="I380" s="736" t="s">
        <v>174</v>
      </c>
      <c r="J380" s="738">
        <v>700</v>
      </c>
      <c r="K380" s="709"/>
      <c r="L380" s="757"/>
    </row>
    <row r="381" spans="1:12" hidden="1">
      <c r="A381" s="689" t="s">
        <v>160</v>
      </c>
      <c r="B381" s="722"/>
      <c r="C381" s="691"/>
      <c r="D381" s="691"/>
      <c r="E381" s="692"/>
      <c r="F381" s="693"/>
      <c r="G381" s="749"/>
      <c r="H381" s="695"/>
      <c r="I381" s="691"/>
      <c r="J381" s="690"/>
      <c r="K381" s="709"/>
      <c r="L381" s="757"/>
    </row>
    <row r="382" spans="1:12" hidden="1">
      <c r="A382" s="689" t="s">
        <v>160</v>
      </c>
      <c r="B382" s="724" t="s">
        <v>180</v>
      </c>
      <c r="C382" s="734" t="s">
        <v>57</v>
      </c>
      <c r="D382" s="705" t="s">
        <v>31</v>
      </c>
      <c r="E382" s="735" t="s">
        <v>32</v>
      </c>
      <c r="F382" s="736" t="s">
        <v>100</v>
      </c>
      <c r="G382" s="828">
        <f>ROUND(armatura!G125,2)</f>
        <v>2104.7800000000002</v>
      </c>
      <c r="H382" s="704" t="s">
        <v>113</v>
      </c>
      <c r="I382" s="736" t="s">
        <v>181</v>
      </c>
      <c r="J382" s="738">
        <v>75</v>
      </c>
      <c r="K382" s="709"/>
      <c r="L382" s="757"/>
    </row>
    <row r="383" spans="1:12" hidden="1">
      <c r="A383" s="689" t="s">
        <v>160</v>
      </c>
      <c r="B383" s="724" t="s">
        <v>180</v>
      </c>
      <c r="C383" s="734" t="s">
        <v>59</v>
      </c>
      <c r="D383" s="844" t="s">
        <v>33</v>
      </c>
      <c r="E383" s="845" t="s">
        <v>34</v>
      </c>
      <c r="F383" s="736" t="s">
        <v>100</v>
      </c>
      <c r="G383" s="828">
        <f>ROUND(armatura!G126,2)</f>
        <v>2528.6799999999998</v>
      </c>
      <c r="H383" s="704" t="s">
        <v>113</v>
      </c>
      <c r="I383" s="736" t="s">
        <v>181</v>
      </c>
      <c r="J383" s="738">
        <v>120</v>
      </c>
      <c r="K383" s="709"/>
      <c r="L383" s="757"/>
    </row>
    <row r="384" spans="1:12" hidden="1">
      <c r="A384" s="689" t="s">
        <v>160</v>
      </c>
      <c r="B384" s="724" t="s">
        <v>180</v>
      </c>
      <c r="C384" s="734" t="s">
        <v>60</v>
      </c>
      <c r="D384" s="700" t="s">
        <v>35</v>
      </c>
      <c r="E384" s="735" t="s">
        <v>36</v>
      </c>
      <c r="F384" s="736" t="s">
        <v>100</v>
      </c>
      <c r="G384" s="828">
        <f>ROUND(armatura!G127,2)</f>
        <v>2597.77</v>
      </c>
      <c r="H384" s="704" t="s">
        <v>113</v>
      </c>
      <c r="I384" s="736" t="s">
        <v>181</v>
      </c>
      <c r="J384" s="738">
        <v>150</v>
      </c>
      <c r="K384" s="709"/>
      <c r="L384" s="757"/>
    </row>
    <row r="385" spans="1:12" hidden="1">
      <c r="A385" s="689" t="s">
        <v>160</v>
      </c>
      <c r="B385" s="724" t="s">
        <v>180</v>
      </c>
      <c r="C385" s="734" t="s">
        <v>62</v>
      </c>
      <c r="D385" s="844" t="s">
        <v>37</v>
      </c>
      <c r="E385" s="735" t="s">
        <v>38</v>
      </c>
      <c r="F385" s="736" t="s">
        <v>100</v>
      </c>
      <c r="G385" s="828">
        <f>ROUND(armatura!G128,2)</f>
        <v>3324.15</v>
      </c>
      <c r="H385" s="704" t="s">
        <v>113</v>
      </c>
      <c r="I385" s="736" t="s">
        <v>181</v>
      </c>
      <c r="J385" s="738">
        <v>162</v>
      </c>
      <c r="K385" s="709"/>
      <c r="L385" s="757"/>
    </row>
    <row r="386" spans="1:12" hidden="1">
      <c r="A386" s="689" t="s">
        <v>160</v>
      </c>
      <c r="B386" s="724" t="s">
        <v>180</v>
      </c>
      <c r="C386" s="734" t="s">
        <v>63</v>
      </c>
      <c r="D386" s="737" t="s">
        <v>168</v>
      </c>
      <c r="E386" s="735">
        <v>5</v>
      </c>
      <c r="F386" s="736" t="s">
        <v>100</v>
      </c>
      <c r="G386" s="828">
        <f>ROUND(armatura!G129,2)</f>
        <v>4617.54</v>
      </c>
      <c r="H386" s="704" t="s">
        <v>113</v>
      </c>
      <c r="I386" s="736" t="s">
        <v>181</v>
      </c>
      <c r="J386" s="738">
        <v>200</v>
      </c>
      <c r="K386" s="709"/>
      <c r="L386" s="757"/>
    </row>
    <row r="387" spans="1:12" hidden="1">
      <c r="A387" s="689" t="s">
        <v>160</v>
      </c>
      <c r="B387" s="724" t="s">
        <v>180</v>
      </c>
      <c r="C387" s="734" t="s">
        <v>66</v>
      </c>
      <c r="D387" s="737" t="s">
        <v>169</v>
      </c>
      <c r="E387" s="735">
        <v>6</v>
      </c>
      <c r="F387" s="736" t="s">
        <v>100</v>
      </c>
      <c r="G387" s="828">
        <f>ROUND(armatura!G130,2)</f>
        <v>4907.59</v>
      </c>
      <c r="H387" s="704" t="s">
        <v>113</v>
      </c>
      <c r="I387" s="736" t="s">
        <v>181</v>
      </c>
      <c r="J387" s="738">
        <v>250</v>
      </c>
      <c r="K387" s="709"/>
      <c r="L387" s="757"/>
    </row>
    <row r="388" spans="1:12" hidden="1">
      <c r="A388" s="689" t="s">
        <v>160</v>
      </c>
      <c r="B388" s="724" t="s">
        <v>180</v>
      </c>
      <c r="C388" s="734" t="s">
        <v>121</v>
      </c>
      <c r="D388" s="737" t="s">
        <v>170</v>
      </c>
      <c r="E388" s="735">
        <v>8</v>
      </c>
      <c r="F388" s="736" t="s">
        <v>100</v>
      </c>
      <c r="G388" s="828">
        <f>ROUND(armatura!G131,2)</f>
        <v>6668.63</v>
      </c>
      <c r="H388" s="704" t="s">
        <v>113</v>
      </c>
      <c r="I388" s="736" t="s">
        <v>181</v>
      </c>
      <c r="J388" s="738">
        <v>325</v>
      </c>
      <c r="K388" s="709"/>
      <c r="L388" s="757"/>
    </row>
    <row r="389" spans="1:12" hidden="1">
      <c r="A389" s="689" t="s">
        <v>160</v>
      </c>
      <c r="B389" s="724" t="s">
        <v>180</v>
      </c>
      <c r="C389" s="734" t="s">
        <v>122</v>
      </c>
      <c r="D389" s="737" t="s">
        <v>171</v>
      </c>
      <c r="E389" s="735">
        <v>10</v>
      </c>
      <c r="F389" s="736" t="s">
        <v>100</v>
      </c>
      <c r="G389" s="828">
        <f>ROUND(armatura!G132,2)</f>
        <v>19349.599999999999</v>
      </c>
      <c r="H389" s="704" t="s">
        <v>113</v>
      </c>
      <c r="I389" s="736" t="s">
        <v>181</v>
      </c>
      <c r="J389" s="738">
        <v>400</v>
      </c>
      <c r="K389" s="709"/>
      <c r="L389" s="757"/>
    </row>
    <row r="390" spans="1:12" hidden="1">
      <c r="A390" s="689" t="s">
        <v>160</v>
      </c>
      <c r="B390" s="724" t="s">
        <v>180</v>
      </c>
      <c r="C390" s="734" t="s">
        <v>156</v>
      </c>
      <c r="D390" s="737" t="s">
        <v>172</v>
      </c>
      <c r="E390" s="735">
        <v>12</v>
      </c>
      <c r="F390" s="736" t="s">
        <v>100</v>
      </c>
      <c r="G390" s="828">
        <f>ROUND(armatura!G133,2)</f>
        <v>0</v>
      </c>
      <c r="H390" s="704" t="s">
        <v>113</v>
      </c>
      <c r="I390" s="736" t="s">
        <v>181</v>
      </c>
      <c r="J390" s="738">
        <v>487</v>
      </c>
      <c r="K390" s="709"/>
      <c r="L390" s="757"/>
    </row>
    <row r="391" spans="1:12" hidden="1">
      <c r="A391" s="689" t="s">
        <v>160</v>
      </c>
      <c r="B391" s="724" t="s">
        <v>180</v>
      </c>
      <c r="C391" s="734" t="s">
        <v>158</v>
      </c>
      <c r="D391" s="737" t="s">
        <v>175</v>
      </c>
      <c r="E391" s="735">
        <v>14</v>
      </c>
      <c r="F391" s="736" t="s">
        <v>100</v>
      </c>
      <c r="G391" s="828">
        <f>ROUND(armatura!G134,2)</f>
        <v>0</v>
      </c>
      <c r="H391" s="704" t="s">
        <v>113</v>
      </c>
      <c r="I391" s="736" t="s">
        <v>181</v>
      </c>
      <c r="J391" s="738">
        <v>562</v>
      </c>
      <c r="K391" s="709"/>
      <c r="L391" s="757"/>
    </row>
    <row r="392" spans="1:12" hidden="1">
      <c r="A392" s="689" t="s">
        <v>160</v>
      </c>
      <c r="B392" s="724" t="s">
        <v>180</v>
      </c>
      <c r="C392" s="734" t="s">
        <v>176</v>
      </c>
      <c r="D392" s="737" t="s">
        <v>177</v>
      </c>
      <c r="E392" s="735">
        <v>16</v>
      </c>
      <c r="F392" s="736" t="s">
        <v>100</v>
      </c>
      <c r="G392" s="828">
        <f>ROUND(armatura!G135,2)</f>
        <v>0</v>
      </c>
      <c r="H392" s="704" t="s">
        <v>113</v>
      </c>
      <c r="I392" s="736" t="s">
        <v>181</v>
      </c>
      <c r="J392" s="738">
        <v>650</v>
      </c>
      <c r="K392" s="709"/>
      <c r="L392" s="757"/>
    </row>
    <row r="393" spans="1:12" hidden="1">
      <c r="A393" s="689" t="s">
        <v>160</v>
      </c>
      <c r="B393" s="724" t="s">
        <v>180</v>
      </c>
      <c r="C393" s="734" t="s">
        <v>178</v>
      </c>
      <c r="D393" s="734" t="s">
        <v>179</v>
      </c>
      <c r="E393" s="735">
        <v>20</v>
      </c>
      <c r="F393" s="736" t="s">
        <v>100</v>
      </c>
      <c r="G393" s="828">
        <f>ROUND(armatura!G136,2)</f>
        <v>0</v>
      </c>
      <c r="H393" s="704" t="s">
        <v>113</v>
      </c>
      <c r="I393" s="736" t="s">
        <v>181</v>
      </c>
      <c r="J393" s="738">
        <v>700</v>
      </c>
      <c r="K393" s="709"/>
      <c r="L393" s="757"/>
    </row>
    <row r="394" spans="1:12" hidden="1">
      <c r="A394" s="689" t="s">
        <v>160</v>
      </c>
      <c r="B394" s="691"/>
      <c r="C394" s="691"/>
      <c r="D394" s="691"/>
      <c r="E394" s="691"/>
      <c r="F394" s="693"/>
      <c r="G394" s="832"/>
      <c r="H394" s="690"/>
      <c r="I394" s="691"/>
      <c r="J394" s="691"/>
      <c r="K394" s="709"/>
      <c r="L394" s="757"/>
    </row>
    <row r="395" spans="1:12" hidden="1">
      <c r="A395" s="689" t="s">
        <v>160</v>
      </c>
      <c r="B395" s="738" t="s">
        <v>182</v>
      </c>
      <c r="C395" s="734" t="s">
        <v>49</v>
      </c>
      <c r="D395" s="705" t="s">
        <v>104</v>
      </c>
      <c r="E395" s="735" t="s">
        <v>24</v>
      </c>
      <c r="F395" s="736" t="s">
        <v>100</v>
      </c>
      <c r="G395" s="828">
        <f>ROUND(armatura!G138,2)</f>
        <v>82.1</v>
      </c>
      <c r="H395" s="704" t="s">
        <v>113</v>
      </c>
      <c r="I395" s="736" t="s">
        <v>183</v>
      </c>
      <c r="J395" s="738">
        <v>30</v>
      </c>
      <c r="K395" s="709"/>
      <c r="L395" s="757"/>
    </row>
    <row r="396" spans="1:12" hidden="1">
      <c r="A396" s="689" t="s">
        <v>160</v>
      </c>
      <c r="B396" s="738" t="s">
        <v>182</v>
      </c>
      <c r="C396" s="734" t="s">
        <v>51</v>
      </c>
      <c r="D396" s="705" t="s">
        <v>105</v>
      </c>
      <c r="E396" s="735" t="s">
        <v>26</v>
      </c>
      <c r="F396" s="736" t="s">
        <v>100</v>
      </c>
      <c r="G396" s="828">
        <f>ROUND(armatura!G139,2)</f>
        <v>91.72</v>
      </c>
      <c r="H396" s="704" t="s">
        <v>113</v>
      </c>
      <c r="I396" s="736" t="s">
        <v>183</v>
      </c>
      <c r="J396" s="738">
        <v>35</v>
      </c>
      <c r="K396" s="709"/>
      <c r="L396" s="757"/>
    </row>
    <row r="397" spans="1:12" hidden="1">
      <c r="A397" s="689" t="s">
        <v>160</v>
      </c>
      <c r="B397" s="738" t="s">
        <v>182</v>
      </c>
      <c r="C397" s="734" t="s">
        <v>53</v>
      </c>
      <c r="D397" s="705" t="s">
        <v>106</v>
      </c>
      <c r="E397" s="735" t="s">
        <v>28</v>
      </c>
      <c r="F397" s="736" t="s">
        <v>100</v>
      </c>
      <c r="G397" s="828">
        <f>ROUND(armatura!G140,2)</f>
        <v>110.91</v>
      </c>
      <c r="H397" s="704" t="s">
        <v>113</v>
      </c>
      <c r="I397" s="736" t="s">
        <v>183</v>
      </c>
      <c r="J397" s="738">
        <v>50</v>
      </c>
      <c r="K397" s="709"/>
      <c r="L397" s="757"/>
    </row>
    <row r="398" spans="1:12" hidden="1">
      <c r="A398" s="689" t="s">
        <v>160</v>
      </c>
      <c r="B398" s="738" t="s">
        <v>182</v>
      </c>
      <c r="C398" s="734" t="s">
        <v>55</v>
      </c>
      <c r="D398" s="705" t="s">
        <v>107</v>
      </c>
      <c r="E398" s="735" t="s">
        <v>30</v>
      </c>
      <c r="F398" s="736" t="s">
        <v>100</v>
      </c>
      <c r="G398" s="828">
        <f>ROUND(armatura!G141,2)</f>
        <v>136.54</v>
      </c>
      <c r="H398" s="704" t="s">
        <v>113</v>
      </c>
      <c r="I398" s="736" t="s">
        <v>183</v>
      </c>
      <c r="J398" s="738">
        <v>55</v>
      </c>
      <c r="K398" s="709"/>
      <c r="L398" s="757"/>
    </row>
    <row r="399" spans="1:12" hidden="1">
      <c r="A399" s="689" t="s">
        <v>160</v>
      </c>
      <c r="B399" s="738" t="s">
        <v>182</v>
      </c>
      <c r="C399" s="734" t="s">
        <v>57</v>
      </c>
      <c r="D399" s="705" t="s">
        <v>31</v>
      </c>
      <c r="E399" s="735" t="s">
        <v>32</v>
      </c>
      <c r="F399" s="736" t="s">
        <v>100</v>
      </c>
      <c r="G399" s="828">
        <f>ROUND(armatura!G142,2)</f>
        <v>152.58000000000001</v>
      </c>
      <c r="H399" s="704" t="s">
        <v>113</v>
      </c>
      <c r="I399" s="736" t="s">
        <v>183</v>
      </c>
      <c r="J399" s="738">
        <v>75</v>
      </c>
      <c r="K399" s="709"/>
      <c r="L399" s="757"/>
    </row>
    <row r="400" spans="1:12" hidden="1">
      <c r="A400" s="689" t="s">
        <v>160</v>
      </c>
      <c r="B400" s="738" t="s">
        <v>182</v>
      </c>
      <c r="C400" s="734" t="s">
        <v>59</v>
      </c>
      <c r="D400" s="844" t="s">
        <v>33</v>
      </c>
      <c r="E400" s="845" t="s">
        <v>34</v>
      </c>
      <c r="F400" s="736" t="s">
        <v>100</v>
      </c>
      <c r="G400" s="828">
        <f>ROUND(armatura!G143,2)</f>
        <v>270.49</v>
      </c>
      <c r="H400" s="704" t="s">
        <v>113</v>
      </c>
      <c r="I400" s="736" t="s">
        <v>184</v>
      </c>
      <c r="J400" s="738">
        <v>120</v>
      </c>
      <c r="K400" s="709"/>
      <c r="L400" s="757"/>
    </row>
    <row r="401" spans="1:12" hidden="1">
      <c r="A401" s="689" t="s">
        <v>160</v>
      </c>
      <c r="B401" s="738" t="s">
        <v>182</v>
      </c>
      <c r="C401" s="734" t="s">
        <v>60</v>
      </c>
      <c r="D401" s="700" t="s">
        <v>35</v>
      </c>
      <c r="E401" s="735">
        <v>3</v>
      </c>
      <c r="F401" s="736" t="s">
        <v>100</v>
      </c>
      <c r="G401" s="828">
        <f>ROUND(armatura!G144,2)</f>
        <v>332.01</v>
      </c>
      <c r="H401" s="704" t="s">
        <v>113</v>
      </c>
      <c r="I401" s="736" t="s">
        <v>184</v>
      </c>
      <c r="J401" s="738">
        <v>150</v>
      </c>
      <c r="K401" s="709"/>
      <c r="L401" s="757"/>
    </row>
    <row r="402" spans="1:12" hidden="1">
      <c r="A402" s="689" t="s">
        <v>160</v>
      </c>
      <c r="B402" s="738" t="s">
        <v>182</v>
      </c>
      <c r="C402" s="734" t="s">
        <v>62</v>
      </c>
      <c r="D402" s="844" t="s">
        <v>37</v>
      </c>
      <c r="E402" s="735">
        <v>4</v>
      </c>
      <c r="F402" s="736" t="s">
        <v>100</v>
      </c>
      <c r="G402" s="828">
        <f>ROUND(armatura!G145,2)</f>
        <v>405.48</v>
      </c>
      <c r="H402" s="704" t="s">
        <v>113</v>
      </c>
      <c r="I402" s="736" t="s">
        <v>184</v>
      </c>
      <c r="J402" s="738">
        <v>162</v>
      </c>
      <c r="K402" s="709"/>
      <c r="L402" s="757"/>
    </row>
    <row r="403" spans="1:12" hidden="1">
      <c r="A403" s="689" t="s">
        <v>160</v>
      </c>
      <c r="B403" s="738" t="s">
        <v>182</v>
      </c>
      <c r="C403" s="734" t="s">
        <v>63</v>
      </c>
      <c r="D403" s="737" t="s">
        <v>168</v>
      </c>
      <c r="E403" s="735">
        <v>5</v>
      </c>
      <c r="F403" s="736" t="s">
        <v>100</v>
      </c>
      <c r="G403" s="828">
        <f>ROUND(armatura!G146,2)</f>
        <v>563.6</v>
      </c>
      <c r="H403" s="704" t="s">
        <v>113</v>
      </c>
      <c r="I403" s="736" t="s">
        <v>184</v>
      </c>
      <c r="J403" s="738">
        <v>200</v>
      </c>
      <c r="K403" s="709"/>
      <c r="L403" s="757"/>
    </row>
    <row r="404" spans="1:12" hidden="1">
      <c r="A404" s="689" t="s">
        <v>160</v>
      </c>
      <c r="B404" s="738" t="s">
        <v>182</v>
      </c>
      <c r="C404" s="734" t="s">
        <v>66</v>
      </c>
      <c r="D404" s="737" t="s">
        <v>169</v>
      </c>
      <c r="E404" s="735">
        <v>6</v>
      </c>
      <c r="F404" s="736" t="s">
        <v>100</v>
      </c>
      <c r="G404" s="828">
        <f>ROUND(armatura!G147,2)</f>
        <v>688.29</v>
      </c>
      <c r="H404" s="704" t="s">
        <v>113</v>
      </c>
      <c r="I404" s="736" t="s">
        <v>184</v>
      </c>
      <c r="J404" s="738">
        <v>250</v>
      </c>
      <c r="K404" s="709"/>
      <c r="L404" s="757"/>
    </row>
    <row r="405" spans="1:12" hidden="1">
      <c r="A405" s="689" t="s">
        <v>160</v>
      </c>
      <c r="B405" s="738" t="s">
        <v>182</v>
      </c>
      <c r="C405" s="734" t="s">
        <v>121</v>
      </c>
      <c r="D405" s="737" t="s">
        <v>170</v>
      </c>
      <c r="E405" s="735">
        <v>8</v>
      </c>
      <c r="F405" s="736" t="s">
        <v>100</v>
      </c>
      <c r="G405" s="828">
        <f>ROUND(armatura!G148,2)</f>
        <v>982.61</v>
      </c>
      <c r="H405" s="704" t="s">
        <v>113</v>
      </c>
      <c r="I405" s="736" t="s">
        <v>184</v>
      </c>
      <c r="J405" s="738">
        <v>325</v>
      </c>
      <c r="K405" s="709"/>
      <c r="L405" s="757"/>
    </row>
    <row r="406" spans="1:12" hidden="1">
      <c r="A406" s="689" t="s">
        <v>160</v>
      </c>
      <c r="B406" s="738" t="s">
        <v>182</v>
      </c>
      <c r="C406" s="734" t="s">
        <v>122</v>
      </c>
      <c r="D406" s="737" t="s">
        <v>171</v>
      </c>
      <c r="E406" s="735">
        <v>10</v>
      </c>
      <c r="F406" s="736" t="s">
        <v>100</v>
      </c>
      <c r="G406" s="828">
        <f>ROUND(armatura!G149,2)</f>
        <v>1565.91</v>
      </c>
      <c r="H406" s="704" t="s">
        <v>113</v>
      </c>
      <c r="I406" s="736" t="s">
        <v>184</v>
      </c>
      <c r="J406" s="738">
        <v>400</v>
      </c>
      <c r="K406" s="709"/>
      <c r="L406" s="757"/>
    </row>
    <row r="407" spans="1:12" hidden="1">
      <c r="A407" s="689" t="s">
        <v>160</v>
      </c>
      <c r="B407" s="738" t="s">
        <v>182</v>
      </c>
      <c r="C407" s="734" t="s">
        <v>156</v>
      </c>
      <c r="D407" s="737" t="s">
        <v>172</v>
      </c>
      <c r="E407" s="735">
        <v>12</v>
      </c>
      <c r="F407" s="736" t="s">
        <v>100</v>
      </c>
      <c r="G407" s="828">
        <f>ROUND(armatura!G150,2)</f>
        <v>2011.47</v>
      </c>
      <c r="H407" s="704" t="s">
        <v>113</v>
      </c>
      <c r="I407" s="736" t="s">
        <v>184</v>
      </c>
      <c r="J407" s="738">
        <v>487</v>
      </c>
      <c r="K407" s="709"/>
      <c r="L407" s="757"/>
    </row>
    <row r="408" spans="1:12" hidden="1">
      <c r="A408" s="689" t="s">
        <v>160</v>
      </c>
      <c r="B408" s="738" t="s">
        <v>182</v>
      </c>
      <c r="C408" s="734" t="s">
        <v>158</v>
      </c>
      <c r="D408" s="737" t="s">
        <v>175</v>
      </c>
      <c r="E408" s="735">
        <v>14</v>
      </c>
      <c r="F408" s="736" t="s">
        <v>100</v>
      </c>
      <c r="G408" s="828">
        <f>ROUND(armatura!G151,2)</f>
        <v>2980.91</v>
      </c>
      <c r="H408" s="704" t="s">
        <v>113</v>
      </c>
      <c r="I408" s="736" t="s">
        <v>184</v>
      </c>
      <c r="J408" s="738">
        <v>562</v>
      </c>
      <c r="K408" s="709"/>
      <c r="L408" s="757"/>
    </row>
    <row r="409" spans="1:12" hidden="1">
      <c r="A409" s="689" t="s">
        <v>160</v>
      </c>
      <c r="B409" s="738" t="s">
        <v>182</v>
      </c>
      <c r="C409" s="734" t="s">
        <v>176</v>
      </c>
      <c r="D409" s="737" t="s">
        <v>177</v>
      </c>
      <c r="E409" s="735">
        <v>16</v>
      </c>
      <c r="F409" s="736" t="s">
        <v>100</v>
      </c>
      <c r="G409" s="828">
        <f>ROUND(armatura!G152,2)</f>
        <v>3726.29</v>
      </c>
      <c r="H409" s="704" t="s">
        <v>113</v>
      </c>
      <c r="I409" s="736" t="s">
        <v>184</v>
      </c>
      <c r="J409" s="738">
        <v>650</v>
      </c>
      <c r="K409" s="709"/>
      <c r="L409" s="757"/>
    </row>
    <row r="410" spans="1:12" hidden="1">
      <c r="A410" s="689" t="s">
        <v>160</v>
      </c>
      <c r="B410" s="738" t="s">
        <v>182</v>
      </c>
      <c r="C410" s="734" t="s">
        <v>178</v>
      </c>
      <c r="D410" s="734" t="s">
        <v>179</v>
      </c>
      <c r="E410" s="735">
        <v>20</v>
      </c>
      <c r="F410" s="736" t="s">
        <v>100</v>
      </c>
      <c r="G410" s="828">
        <f>ROUND(armatura!G153,2)</f>
        <v>4944.1899999999996</v>
      </c>
      <c r="H410" s="704" t="s">
        <v>113</v>
      </c>
      <c r="I410" s="736" t="s">
        <v>184</v>
      </c>
      <c r="J410" s="738">
        <v>700</v>
      </c>
      <c r="K410" s="709"/>
      <c r="L410" s="757"/>
    </row>
    <row r="411" spans="1:12" hidden="1">
      <c r="A411" s="689" t="s">
        <v>160</v>
      </c>
      <c r="B411" s="691"/>
      <c r="C411" s="691"/>
      <c r="D411" s="691"/>
      <c r="E411" s="691"/>
      <c r="F411" s="693"/>
      <c r="G411" s="749"/>
      <c r="H411" s="690"/>
      <c r="I411" s="691"/>
      <c r="J411" s="691"/>
      <c r="K411" s="709"/>
      <c r="L411" s="757"/>
    </row>
    <row r="412" spans="1:12" hidden="1">
      <c r="A412" s="689" t="s">
        <v>160</v>
      </c>
      <c r="B412" s="724" t="s">
        <v>129</v>
      </c>
      <c r="C412" s="705" t="s">
        <v>94</v>
      </c>
      <c r="D412" s="705" t="s">
        <v>185</v>
      </c>
      <c r="E412" s="744">
        <v>0.375</v>
      </c>
      <c r="F412" s="736" t="s">
        <v>100</v>
      </c>
      <c r="G412" s="828">
        <f>ROUND(armatura!G155,2)</f>
        <v>63</v>
      </c>
      <c r="H412" s="704" t="s">
        <v>186</v>
      </c>
      <c r="I412" s="736"/>
      <c r="J412" s="738">
        <v>25</v>
      </c>
      <c r="K412" s="736" t="s">
        <v>187</v>
      </c>
      <c r="L412" s="757"/>
    </row>
    <row r="413" spans="1:12" hidden="1">
      <c r="A413" s="689" t="s">
        <v>160</v>
      </c>
      <c r="B413" s="724" t="s">
        <v>129</v>
      </c>
      <c r="C413" s="734" t="s">
        <v>47</v>
      </c>
      <c r="D413" s="705" t="s">
        <v>99</v>
      </c>
      <c r="E413" s="735" t="s">
        <v>22</v>
      </c>
      <c r="F413" s="736" t="s">
        <v>100</v>
      </c>
      <c r="G413" s="828">
        <f>ROUND(armatura!G156,2)</f>
        <v>74</v>
      </c>
      <c r="H413" s="704" t="s">
        <v>186</v>
      </c>
      <c r="I413" s="736"/>
      <c r="J413" s="738">
        <v>25</v>
      </c>
      <c r="K413" s="736" t="s">
        <v>187</v>
      </c>
      <c r="L413" s="757"/>
    </row>
    <row r="414" spans="1:12" hidden="1">
      <c r="A414" s="689" t="s">
        <v>160</v>
      </c>
      <c r="B414" s="724" t="s">
        <v>129</v>
      </c>
      <c r="C414" s="734" t="s">
        <v>49</v>
      </c>
      <c r="D414" s="705" t="s">
        <v>104</v>
      </c>
      <c r="E414" s="735" t="s">
        <v>24</v>
      </c>
      <c r="F414" s="736" t="s">
        <v>100</v>
      </c>
      <c r="G414" s="828">
        <f>ROUND(armatura!G157,2)</f>
        <v>82.5</v>
      </c>
      <c r="H414" s="704" t="s">
        <v>186</v>
      </c>
      <c r="I414" s="736"/>
      <c r="J414" s="738">
        <v>30</v>
      </c>
      <c r="K414" s="736" t="s">
        <v>187</v>
      </c>
      <c r="L414" s="757"/>
    </row>
    <row r="415" spans="1:12" hidden="1">
      <c r="A415" s="689" t="s">
        <v>160</v>
      </c>
      <c r="B415" s="724" t="s">
        <v>129</v>
      </c>
      <c r="C415" s="734" t="s">
        <v>51</v>
      </c>
      <c r="D415" s="705" t="s">
        <v>105</v>
      </c>
      <c r="E415" s="735">
        <v>1</v>
      </c>
      <c r="F415" s="736" t="s">
        <v>100</v>
      </c>
      <c r="G415" s="828">
        <f>ROUND(armatura!G158,2)</f>
        <v>98.5</v>
      </c>
      <c r="H415" s="704" t="s">
        <v>186</v>
      </c>
      <c r="I415" s="736"/>
      <c r="J415" s="738">
        <v>35</v>
      </c>
      <c r="K415" s="736" t="s">
        <v>187</v>
      </c>
      <c r="L415" s="757"/>
    </row>
    <row r="416" spans="1:12" hidden="1">
      <c r="A416" s="689" t="s">
        <v>160</v>
      </c>
      <c r="B416" s="724" t="s">
        <v>129</v>
      </c>
      <c r="C416" s="734" t="s">
        <v>53</v>
      </c>
      <c r="D416" s="705" t="s">
        <v>106</v>
      </c>
      <c r="E416" s="744">
        <v>1.25</v>
      </c>
      <c r="F416" s="736" t="s">
        <v>100</v>
      </c>
      <c r="G416" s="828">
        <f>ROUND(armatura!G159,2)</f>
        <v>105</v>
      </c>
      <c r="H416" s="704" t="s">
        <v>186</v>
      </c>
      <c r="I416" s="736"/>
      <c r="J416" s="738">
        <v>50</v>
      </c>
      <c r="K416" s="736" t="s">
        <v>187</v>
      </c>
      <c r="L416" s="757"/>
    </row>
    <row r="417" spans="1:12" hidden="1">
      <c r="A417" s="689" t="s">
        <v>160</v>
      </c>
      <c r="B417" s="724" t="s">
        <v>129</v>
      </c>
      <c r="C417" s="734" t="s">
        <v>55</v>
      </c>
      <c r="D417" s="705" t="s">
        <v>107</v>
      </c>
      <c r="E417" s="744">
        <v>1.5</v>
      </c>
      <c r="F417" s="736" t="s">
        <v>100</v>
      </c>
      <c r="G417" s="828">
        <f>ROUND(armatura!G160,2)</f>
        <v>117</v>
      </c>
      <c r="H417" s="704" t="s">
        <v>186</v>
      </c>
      <c r="I417" s="736"/>
      <c r="J417" s="738">
        <v>55</v>
      </c>
      <c r="K417" s="736" t="s">
        <v>187</v>
      </c>
      <c r="L417" s="757"/>
    </row>
    <row r="418" spans="1:12" hidden="1">
      <c r="A418" s="689" t="s">
        <v>160</v>
      </c>
      <c r="B418" s="724" t="s">
        <v>129</v>
      </c>
      <c r="C418" s="734" t="s">
        <v>57</v>
      </c>
      <c r="D418" s="705" t="s">
        <v>31</v>
      </c>
      <c r="E418" s="735">
        <v>2</v>
      </c>
      <c r="F418" s="736" t="s">
        <v>100</v>
      </c>
      <c r="G418" s="828">
        <f>ROUND(armatura!G161,2)</f>
        <v>168.5</v>
      </c>
      <c r="H418" s="704" t="s">
        <v>186</v>
      </c>
      <c r="I418" s="736"/>
      <c r="J418" s="738">
        <v>75</v>
      </c>
      <c r="K418" s="736" t="s">
        <v>187</v>
      </c>
      <c r="L418" s="757"/>
    </row>
    <row r="419" spans="1:12" hidden="1">
      <c r="A419" s="689" t="s">
        <v>160</v>
      </c>
      <c r="B419" s="724" t="s">
        <v>129</v>
      </c>
      <c r="C419" s="734" t="s">
        <v>59</v>
      </c>
      <c r="D419" s="844" t="s">
        <v>33</v>
      </c>
      <c r="E419" s="845" t="s">
        <v>34</v>
      </c>
      <c r="F419" s="736" t="s">
        <v>100</v>
      </c>
      <c r="G419" s="828">
        <f>ROUND(armatura!G162,2)</f>
        <v>335.5</v>
      </c>
      <c r="H419" s="704" t="s">
        <v>186</v>
      </c>
      <c r="I419" s="736"/>
      <c r="J419" s="738">
        <v>120</v>
      </c>
      <c r="K419" s="736" t="s">
        <v>187</v>
      </c>
      <c r="L419" s="757"/>
    </row>
    <row r="420" spans="1:12" hidden="1">
      <c r="A420" s="689" t="s">
        <v>160</v>
      </c>
      <c r="B420" s="724" t="s">
        <v>129</v>
      </c>
      <c r="C420" s="734" t="s">
        <v>60</v>
      </c>
      <c r="D420" s="700" t="s">
        <v>35</v>
      </c>
      <c r="E420" s="735">
        <v>3</v>
      </c>
      <c r="F420" s="736" t="s">
        <v>100</v>
      </c>
      <c r="G420" s="828">
        <f>ROUND(armatura!G163,2)</f>
        <v>404.5</v>
      </c>
      <c r="H420" s="704" t="s">
        <v>186</v>
      </c>
      <c r="I420" s="736"/>
      <c r="J420" s="738">
        <v>150</v>
      </c>
      <c r="K420" s="736" t="s">
        <v>187</v>
      </c>
      <c r="L420" s="757"/>
    </row>
    <row r="421" spans="1:12" hidden="1">
      <c r="A421" s="689" t="s">
        <v>160</v>
      </c>
      <c r="B421" s="691"/>
      <c r="C421" s="691"/>
      <c r="D421" s="691"/>
      <c r="E421" s="691"/>
      <c r="F421" s="693"/>
      <c r="G421" s="749"/>
      <c r="H421" s="690"/>
      <c r="I421" s="691"/>
      <c r="J421" s="691"/>
      <c r="K421" s="709"/>
      <c r="L421" s="757"/>
    </row>
    <row r="422" spans="1:12" hidden="1">
      <c r="A422" s="689" t="s">
        <v>160</v>
      </c>
      <c r="B422" s="724" t="s">
        <v>132</v>
      </c>
      <c r="C422" s="817" t="s">
        <v>49</v>
      </c>
      <c r="D422" s="818" t="s">
        <v>104</v>
      </c>
      <c r="E422" s="819" t="s">
        <v>24</v>
      </c>
      <c r="F422" s="736" t="s">
        <v>100</v>
      </c>
      <c r="G422" s="820">
        <f>ROUND(armatura!G165,2)</f>
        <v>102.5</v>
      </c>
      <c r="H422" s="704" t="s">
        <v>186</v>
      </c>
      <c r="I422" s="736"/>
      <c r="J422" s="738">
        <f>J414</f>
        <v>30</v>
      </c>
      <c r="K422" s="736" t="s">
        <v>188</v>
      </c>
      <c r="L422" s="757"/>
    </row>
    <row r="423" spans="1:12" hidden="1">
      <c r="A423" s="689" t="s">
        <v>160</v>
      </c>
      <c r="B423" s="724" t="s">
        <v>132</v>
      </c>
      <c r="C423" s="817" t="s">
        <v>51</v>
      </c>
      <c r="D423" s="818" t="s">
        <v>105</v>
      </c>
      <c r="E423" s="819" t="s">
        <v>26</v>
      </c>
      <c r="F423" s="736" t="s">
        <v>100</v>
      </c>
      <c r="G423" s="820">
        <f>ROUND(armatura!G166,2)</f>
        <v>116.5</v>
      </c>
      <c r="H423" s="704" t="s">
        <v>186</v>
      </c>
      <c r="I423" s="736"/>
      <c r="J423" s="738">
        <f t="shared" ref="J423:J426" si="22">J415</f>
        <v>35</v>
      </c>
      <c r="K423" s="736" t="s">
        <v>188</v>
      </c>
      <c r="L423" s="757"/>
    </row>
    <row r="424" spans="1:12" hidden="1">
      <c r="A424" s="689" t="s">
        <v>160</v>
      </c>
      <c r="B424" s="724" t="s">
        <v>132</v>
      </c>
      <c r="C424" s="817" t="s">
        <v>53</v>
      </c>
      <c r="D424" s="818" t="s">
        <v>106</v>
      </c>
      <c r="E424" s="819" t="s">
        <v>28</v>
      </c>
      <c r="F424" s="736" t="s">
        <v>100</v>
      </c>
      <c r="G424" s="820">
        <f>ROUND(armatura!G167,2)</f>
        <v>139.5</v>
      </c>
      <c r="H424" s="704" t="s">
        <v>186</v>
      </c>
      <c r="I424" s="736"/>
      <c r="J424" s="738">
        <f t="shared" si="22"/>
        <v>50</v>
      </c>
      <c r="K424" s="736" t="s">
        <v>188</v>
      </c>
      <c r="L424" s="757"/>
    </row>
    <row r="425" spans="1:12" hidden="1">
      <c r="A425" s="689" t="s">
        <v>160</v>
      </c>
      <c r="B425" s="724" t="s">
        <v>132</v>
      </c>
      <c r="C425" s="817" t="s">
        <v>55</v>
      </c>
      <c r="D425" s="818" t="s">
        <v>107</v>
      </c>
      <c r="E425" s="819" t="s">
        <v>30</v>
      </c>
      <c r="F425" s="736" t="s">
        <v>100</v>
      </c>
      <c r="G425" s="820">
        <f>ROUND(armatura!G168,2)</f>
        <v>179.5</v>
      </c>
      <c r="H425" s="704" t="s">
        <v>186</v>
      </c>
      <c r="I425" s="736"/>
      <c r="J425" s="738">
        <f t="shared" si="22"/>
        <v>55</v>
      </c>
      <c r="K425" s="736" t="s">
        <v>188</v>
      </c>
      <c r="L425" s="757"/>
    </row>
    <row r="426" spans="1:12" hidden="1">
      <c r="A426" s="689" t="s">
        <v>160</v>
      </c>
      <c r="B426" s="724" t="s">
        <v>132</v>
      </c>
      <c r="C426" s="817" t="s">
        <v>57</v>
      </c>
      <c r="D426" s="818" t="s">
        <v>31</v>
      </c>
      <c r="E426" s="819" t="s">
        <v>32</v>
      </c>
      <c r="F426" s="736" t="s">
        <v>100</v>
      </c>
      <c r="G426" s="820">
        <f>ROUND(armatura!G169,2)</f>
        <v>210.5</v>
      </c>
      <c r="H426" s="704" t="s">
        <v>186</v>
      </c>
      <c r="I426" s="736"/>
      <c r="J426" s="738">
        <f t="shared" si="22"/>
        <v>75</v>
      </c>
      <c r="K426" s="736" t="s">
        <v>188</v>
      </c>
      <c r="L426" s="757"/>
    </row>
    <row r="427" spans="1:12" hidden="1">
      <c r="A427" s="689" t="s">
        <v>160</v>
      </c>
      <c r="B427" s="724" t="s">
        <v>132</v>
      </c>
      <c r="C427" s="817" t="s">
        <v>59</v>
      </c>
      <c r="D427" s="844" t="s">
        <v>33</v>
      </c>
      <c r="E427" s="845" t="s">
        <v>34</v>
      </c>
      <c r="F427" s="736" t="s">
        <v>100</v>
      </c>
      <c r="G427" s="820">
        <f>ROUND(armatura!G170,2)</f>
        <v>327.5</v>
      </c>
      <c r="H427" s="704" t="s">
        <v>186</v>
      </c>
      <c r="I427" s="736"/>
      <c r="J427" s="738">
        <f>J419</f>
        <v>120</v>
      </c>
      <c r="K427" s="736" t="s">
        <v>188</v>
      </c>
      <c r="L427" s="757"/>
    </row>
    <row r="428" spans="1:12" hidden="1">
      <c r="A428" s="689" t="s">
        <v>160</v>
      </c>
      <c r="B428" s="724" t="s">
        <v>132</v>
      </c>
      <c r="C428" s="734" t="s">
        <v>60</v>
      </c>
      <c r="D428" s="700" t="s">
        <v>35</v>
      </c>
      <c r="E428" s="735">
        <v>3</v>
      </c>
      <c r="F428" s="736" t="s">
        <v>100</v>
      </c>
      <c r="G428" s="820">
        <f>ROUND(armatura!G171,2)</f>
        <v>415</v>
      </c>
      <c r="H428" s="704" t="s">
        <v>186</v>
      </c>
      <c r="I428" s="736"/>
      <c r="J428" s="738">
        <f>J420</f>
        <v>150</v>
      </c>
      <c r="K428" s="736" t="s">
        <v>188</v>
      </c>
      <c r="L428" s="757"/>
    </row>
    <row r="429" spans="1:12" hidden="1">
      <c r="A429" s="689" t="s">
        <v>160</v>
      </c>
      <c r="B429" s="724" t="s">
        <v>132</v>
      </c>
      <c r="C429" s="734" t="s">
        <v>62</v>
      </c>
      <c r="D429" s="844" t="s">
        <v>37</v>
      </c>
      <c r="E429" s="735">
        <v>4</v>
      </c>
      <c r="F429" s="736" t="s">
        <v>100</v>
      </c>
      <c r="G429" s="820">
        <f>ROUND(armatura!G172,2)</f>
        <v>560.5</v>
      </c>
      <c r="H429" s="704" t="s">
        <v>186</v>
      </c>
      <c r="I429" s="736"/>
      <c r="J429" s="738">
        <v>162</v>
      </c>
      <c r="K429" s="736" t="s">
        <v>188</v>
      </c>
      <c r="L429" s="757"/>
    </row>
    <row r="430" spans="1:12" hidden="1">
      <c r="A430" s="689" t="s">
        <v>160</v>
      </c>
      <c r="B430" s="724" t="s">
        <v>132</v>
      </c>
      <c r="C430" s="734" t="s">
        <v>63</v>
      </c>
      <c r="D430" s="737" t="s">
        <v>168</v>
      </c>
      <c r="E430" s="735">
        <v>5</v>
      </c>
      <c r="F430" s="736" t="s">
        <v>100</v>
      </c>
      <c r="G430" s="820">
        <f>ROUND(armatura!G173,2)</f>
        <v>865</v>
      </c>
      <c r="H430" s="704" t="s">
        <v>186</v>
      </c>
      <c r="I430" s="736"/>
      <c r="J430" s="738">
        <v>200</v>
      </c>
      <c r="K430" s="736" t="s">
        <v>188</v>
      </c>
      <c r="L430" s="757"/>
    </row>
    <row r="431" spans="1:12" hidden="1">
      <c r="A431" s="689" t="s">
        <v>160</v>
      </c>
      <c r="B431" s="724" t="s">
        <v>132</v>
      </c>
      <c r="C431" s="734" t="s">
        <v>66</v>
      </c>
      <c r="D431" s="737" t="s">
        <v>169</v>
      </c>
      <c r="E431" s="735">
        <v>6</v>
      </c>
      <c r="F431" s="736" t="s">
        <v>100</v>
      </c>
      <c r="G431" s="820">
        <f>ROUND(armatura!G174,2)</f>
        <v>1115</v>
      </c>
      <c r="H431" s="704" t="s">
        <v>186</v>
      </c>
      <c r="I431" s="736"/>
      <c r="J431" s="738">
        <v>250</v>
      </c>
      <c r="K431" s="736" t="s">
        <v>188</v>
      </c>
      <c r="L431" s="757"/>
    </row>
    <row r="432" spans="1:12" hidden="1">
      <c r="A432" s="689" t="s">
        <v>160</v>
      </c>
      <c r="B432" s="724" t="s">
        <v>132</v>
      </c>
      <c r="C432" s="734" t="s">
        <v>121</v>
      </c>
      <c r="D432" s="737" t="s">
        <v>170</v>
      </c>
      <c r="E432" s="735">
        <v>8</v>
      </c>
      <c r="F432" s="736" t="s">
        <v>100</v>
      </c>
      <c r="G432" s="820">
        <f>ROUND(armatura!G175,2)</f>
        <v>1914.5</v>
      </c>
      <c r="H432" s="704" t="s">
        <v>186</v>
      </c>
      <c r="I432" s="736"/>
      <c r="J432" s="738">
        <v>325</v>
      </c>
      <c r="K432" s="736" t="s">
        <v>188</v>
      </c>
      <c r="L432" s="757"/>
    </row>
    <row r="433" spans="1:12" hidden="1">
      <c r="A433" s="689" t="s">
        <v>160</v>
      </c>
      <c r="B433" s="724" t="s">
        <v>132</v>
      </c>
      <c r="C433" s="734" t="s">
        <v>122</v>
      </c>
      <c r="D433" s="737" t="s">
        <v>171</v>
      </c>
      <c r="E433" s="735">
        <v>10</v>
      </c>
      <c r="F433" s="736" t="s">
        <v>100</v>
      </c>
      <c r="G433" s="820">
        <f>ROUND(armatura!G176,2)</f>
        <v>4288.5</v>
      </c>
      <c r="H433" s="704" t="s">
        <v>186</v>
      </c>
      <c r="I433" s="736"/>
      <c r="J433" s="738">
        <v>400</v>
      </c>
      <c r="K433" s="736" t="s">
        <v>188</v>
      </c>
      <c r="L433" s="757"/>
    </row>
    <row r="434" spans="1:12" hidden="1">
      <c r="A434" s="689" t="s">
        <v>160</v>
      </c>
      <c r="B434" s="724" t="s">
        <v>132</v>
      </c>
      <c r="C434" s="734" t="s">
        <v>156</v>
      </c>
      <c r="D434" s="737" t="s">
        <v>172</v>
      </c>
      <c r="E434" s="735">
        <v>12</v>
      </c>
      <c r="F434" s="736" t="s">
        <v>100</v>
      </c>
      <c r="G434" s="820">
        <f>ROUND(armatura!G177,2)</f>
        <v>8805</v>
      </c>
      <c r="H434" s="704" t="s">
        <v>186</v>
      </c>
      <c r="I434" s="736"/>
      <c r="J434" s="738">
        <v>487</v>
      </c>
      <c r="K434" s="736" t="s">
        <v>188</v>
      </c>
      <c r="L434" s="757"/>
    </row>
    <row r="435" spans="1:12" hidden="1">
      <c r="A435" s="689" t="s">
        <v>160</v>
      </c>
      <c r="B435" s="724" t="s">
        <v>132</v>
      </c>
      <c r="C435" s="734" t="s">
        <v>158</v>
      </c>
      <c r="D435" s="737" t="s">
        <v>175</v>
      </c>
      <c r="E435" s="735">
        <v>14</v>
      </c>
      <c r="F435" s="736" t="s">
        <v>100</v>
      </c>
      <c r="G435" s="820">
        <f>ROUND(armatura!G178,2)</f>
        <v>13806.5</v>
      </c>
      <c r="H435" s="704" t="s">
        <v>186</v>
      </c>
      <c r="I435" s="736"/>
      <c r="J435" s="738">
        <v>562</v>
      </c>
      <c r="K435" s="736" t="s">
        <v>188</v>
      </c>
      <c r="L435" s="757"/>
    </row>
    <row r="436" spans="1:12" hidden="1">
      <c r="A436" s="689" t="s">
        <v>160</v>
      </c>
      <c r="B436" s="724" t="s">
        <v>132</v>
      </c>
      <c r="C436" s="734" t="s">
        <v>176</v>
      </c>
      <c r="D436" s="737" t="s">
        <v>177</v>
      </c>
      <c r="E436" s="735">
        <v>16</v>
      </c>
      <c r="F436" s="736" t="s">
        <v>100</v>
      </c>
      <c r="G436" s="820">
        <f>ROUND(armatura!G179,2)</f>
        <v>17426.5</v>
      </c>
      <c r="H436" s="704" t="s">
        <v>186</v>
      </c>
      <c r="I436" s="736"/>
      <c r="J436" s="738">
        <v>650</v>
      </c>
      <c r="K436" s="736" t="s">
        <v>188</v>
      </c>
      <c r="L436" s="757"/>
    </row>
    <row r="437" spans="1:12" hidden="1">
      <c r="A437" s="689"/>
      <c r="B437" s="691"/>
      <c r="C437" s="691"/>
      <c r="D437" s="691"/>
      <c r="E437" s="691"/>
      <c r="F437" s="693"/>
      <c r="G437" s="749"/>
      <c r="H437" s="690"/>
      <c r="I437" s="691"/>
      <c r="J437" s="691"/>
      <c r="K437" s="709"/>
      <c r="L437" s="757"/>
    </row>
    <row r="438" spans="1:12" ht="20.25" hidden="1">
      <c r="A438" s="731" t="s">
        <v>128</v>
      </c>
      <c r="B438" s="724" t="s">
        <v>173</v>
      </c>
      <c r="C438" s="734" t="s">
        <v>53</v>
      </c>
      <c r="D438" s="705" t="s">
        <v>106</v>
      </c>
      <c r="E438" s="744">
        <v>1.25</v>
      </c>
      <c r="F438" s="736" t="s">
        <v>100</v>
      </c>
      <c r="G438" s="727">
        <f>ROUND(armatura!G181,2)</f>
        <v>262</v>
      </c>
      <c r="H438" s="704" t="s">
        <v>186</v>
      </c>
      <c r="I438" s="736" t="s">
        <v>189</v>
      </c>
      <c r="J438" s="738">
        <v>50</v>
      </c>
      <c r="K438" s="709"/>
      <c r="L438" s="757"/>
    </row>
    <row r="439" spans="1:12" ht="20.25" hidden="1">
      <c r="A439" s="731" t="s">
        <v>128</v>
      </c>
      <c r="B439" s="724" t="s">
        <v>173</v>
      </c>
      <c r="C439" s="734" t="s">
        <v>55</v>
      </c>
      <c r="D439" s="705" t="s">
        <v>107</v>
      </c>
      <c r="E439" s="744">
        <v>1.5</v>
      </c>
      <c r="F439" s="736" t="s">
        <v>100</v>
      </c>
      <c r="G439" s="727">
        <f>ROUND(armatura!G182,2)</f>
        <v>272</v>
      </c>
      <c r="H439" s="704" t="s">
        <v>186</v>
      </c>
      <c r="I439" s="736" t="s">
        <v>189</v>
      </c>
      <c r="J439" s="738">
        <v>55</v>
      </c>
      <c r="K439" s="709"/>
      <c r="L439" s="757"/>
    </row>
    <row r="440" spans="1:12" ht="20.25" hidden="1">
      <c r="A440" s="731" t="s">
        <v>128</v>
      </c>
      <c r="B440" s="724" t="s">
        <v>173</v>
      </c>
      <c r="C440" s="734" t="s">
        <v>57</v>
      </c>
      <c r="D440" s="705" t="s">
        <v>31</v>
      </c>
      <c r="E440" s="735">
        <v>2</v>
      </c>
      <c r="F440" s="736" t="s">
        <v>100</v>
      </c>
      <c r="G440" s="727">
        <f>ROUND(armatura!G183,2)</f>
        <v>291.5</v>
      </c>
      <c r="H440" s="704" t="s">
        <v>186</v>
      </c>
      <c r="I440" s="736" t="s">
        <v>189</v>
      </c>
      <c r="J440" s="738">
        <v>75</v>
      </c>
      <c r="K440" s="709"/>
      <c r="L440" s="757"/>
    </row>
    <row r="441" spans="1:12" ht="20.25" hidden="1">
      <c r="A441" s="731" t="s">
        <v>128</v>
      </c>
      <c r="B441" s="724" t="s">
        <v>173</v>
      </c>
      <c r="C441" s="734" t="s">
        <v>59</v>
      </c>
      <c r="D441" s="844" t="s">
        <v>33</v>
      </c>
      <c r="E441" s="845" t="s">
        <v>34</v>
      </c>
      <c r="F441" s="736" t="s">
        <v>100</v>
      </c>
      <c r="G441" s="727">
        <f>ROUND(armatura!G184,2)</f>
        <v>357.5</v>
      </c>
      <c r="H441" s="704" t="s">
        <v>186</v>
      </c>
      <c r="I441" s="736" t="s">
        <v>189</v>
      </c>
      <c r="J441" s="738">
        <v>120</v>
      </c>
      <c r="K441" s="709"/>
      <c r="L441" s="757"/>
    </row>
    <row r="442" spans="1:12" ht="20.25" hidden="1">
      <c r="A442" s="731" t="s">
        <v>128</v>
      </c>
      <c r="B442" s="724" t="s">
        <v>173</v>
      </c>
      <c r="C442" s="734" t="s">
        <v>60</v>
      </c>
      <c r="D442" s="700" t="s">
        <v>35</v>
      </c>
      <c r="E442" s="735">
        <v>3</v>
      </c>
      <c r="F442" s="736" t="s">
        <v>100</v>
      </c>
      <c r="G442" s="727">
        <f>ROUND(armatura!G185,2)</f>
        <v>402.5</v>
      </c>
      <c r="H442" s="704" t="s">
        <v>186</v>
      </c>
      <c r="I442" s="736" t="s">
        <v>189</v>
      </c>
      <c r="J442" s="738">
        <v>150</v>
      </c>
      <c r="K442" s="709"/>
      <c r="L442" s="757"/>
    </row>
    <row r="443" spans="1:12" ht="20.25" hidden="1">
      <c r="A443" s="731" t="s">
        <v>128</v>
      </c>
      <c r="B443" s="724" t="s">
        <v>173</v>
      </c>
      <c r="C443" s="734" t="s">
        <v>62</v>
      </c>
      <c r="D443" s="844" t="s">
        <v>37</v>
      </c>
      <c r="E443" s="735">
        <v>4</v>
      </c>
      <c r="F443" s="736" t="s">
        <v>100</v>
      </c>
      <c r="G443" s="727">
        <f>ROUND(armatura!G186,2)</f>
        <v>458.5</v>
      </c>
      <c r="H443" s="704" t="s">
        <v>186</v>
      </c>
      <c r="I443" s="736" t="s">
        <v>189</v>
      </c>
      <c r="J443" s="738">
        <v>162</v>
      </c>
      <c r="K443" s="709"/>
      <c r="L443" s="757"/>
    </row>
    <row r="444" spans="1:12" ht="20.25" hidden="1">
      <c r="A444" s="731" t="s">
        <v>128</v>
      </c>
      <c r="B444" s="724" t="s">
        <v>173</v>
      </c>
      <c r="C444" s="734" t="s">
        <v>63</v>
      </c>
      <c r="D444" s="737" t="s">
        <v>168</v>
      </c>
      <c r="E444" s="735">
        <v>5</v>
      </c>
      <c r="F444" s="736" t="s">
        <v>100</v>
      </c>
      <c r="G444" s="727">
        <f>ROUND(armatura!G187,2)</f>
        <v>628</v>
      </c>
      <c r="H444" s="704" t="s">
        <v>186</v>
      </c>
      <c r="I444" s="736" t="s">
        <v>189</v>
      </c>
      <c r="J444" s="738">
        <v>200</v>
      </c>
      <c r="K444" s="709"/>
      <c r="L444" s="757"/>
    </row>
    <row r="445" spans="1:12" ht="20.25" hidden="1">
      <c r="A445" s="731" t="s">
        <v>128</v>
      </c>
      <c r="B445" s="724" t="s">
        <v>173</v>
      </c>
      <c r="C445" s="734" t="s">
        <v>66</v>
      </c>
      <c r="D445" s="737" t="s">
        <v>169</v>
      </c>
      <c r="E445" s="735">
        <v>6</v>
      </c>
      <c r="F445" s="736" t="s">
        <v>100</v>
      </c>
      <c r="G445" s="727">
        <f>ROUND(armatura!G188,2)</f>
        <v>705</v>
      </c>
      <c r="H445" s="704" t="s">
        <v>186</v>
      </c>
      <c r="I445" s="736" t="s">
        <v>189</v>
      </c>
      <c r="J445" s="738">
        <v>250</v>
      </c>
      <c r="K445" s="709"/>
      <c r="L445" s="757"/>
    </row>
    <row r="446" spans="1:12" ht="20.25" hidden="1">
      <c r="A446" s="731" t="s">
        <v>128</v>
      </c>
      <c r="B446" s="724" t="s">
        <v>173</v>
      </c>
      <c r="C446" s="734" t="s">
        <v>121</v>
      </c>
      <c r="D446" s="737" t="s">
        <v>170</v>
      </c>
      <c r="E446" s="735">
        <v>8</v>
      </c>
      <c r="F446" s="736" t="s">
        <v>100</v>
      </c>
      <c r="G446" s="727">
        <f>ROUND(armatura!G189,2)</f>
        <v>1014</v>
      </c>
      <c r="H446" s="704" t="s">
        <v>186</v>
      </c>
      <c r="I446" s="736" t="s">
        <v>189</v>
      </c>
      <c r="J446" s="738">
        <v>325</v>
      </c>
      <c r="K446" s="709"/>
      <c r="L446" s="757"/>
    </row>
    <row r="447" spans="1:12" ht="20.25" hidden="1">
      <c r="A447" s="731" t="s">
        <v>128</v>
      </c>
      <c r="B447" s="724" t="s">
        <v>173</v>
      </c>
      <c r="C447" s="734" t="s">
        <v>122</v>
      </c>
      <c r="D447" s="737" t="s">
        <v>171</v>
      </c>
      <c r="E447" s="735">
        <v>10</v>
      </c>
      <c r="F447" s="736" t="s">
        <v>100</v>
      </c>
      <c r="G447" s="727">
        <f>ROUND(armatura!G190,2)</f>
        <v>1549</v>
      </c>
      <c r="H447" s="704" t="s">
        <v>186</v>
      </c>
      <c r="I447" s="736" t="s">
        <v>189</v>
      </c>
      <c r="J447" s="738">
        <v>400</v>
      </c>
      <c r="K447" s="709"/>
      <c r="L447" s="757"/>
    </row>
    <row r="448" spans="1:12" ht="20.25" hidden="1">
      <c r="A448" s="731" t="s">
        <v>128</v>
      </c>
      <c r="B448" s="724" t="s">
        <v>173</v>
      </c>
      <c r="C448" s="734" t="s">
        <v>156</v>
      </c>
      <c r="D448" s="737" t="s">
        <v>172</v>
      </c>
      <c r="E448" s="735">
        <v>12</v>
      </c>
      <c r="F448" s="736" t="s">
        <v>100</v>
      </c>
      <c r="G448" s="727">
        <f>ROUND(armatura!G191,2)</f>
        <v>1910</v>
      </c>
      <c r="H448" s="704" t="s">
        <v>186</v>
      </c>
      <c r="I448" s="736" t="s">
        <v>189</v>
      </c>
      <c r="J448" s="738">
        <v>487</v>
      </c>
      <c r="K448" s="709"/>
      <c r="L448" s="757"/>
    </row>
    <row r="449" spans="1:12" ht="20.25" hidden="1">
      <c r="A449" s="731" t="s">
        <v>128</v>
      </c>
      <c r="B449" s="724" t="s">
        <v>173</v>
      </c>
      <c r="C449" s="734" t="s">
        <v>158</v>
      </c>
      <c r="D449" s="737" t="s">
        <v>175</v>
      </c>
      <c r="E449" s="735">
        <v>14</v>
      </c>
      <c r="F449" s="736" t="s">
        <v>100</v>
      </c>
      <c r="G449" s="727">
        <f>ROUND(armatura!G192,2)</f>
        <v>2723</v>
      </c>
      <c r="H449" s="704" t="s">
        <v>186</v>
      </c>
      <c r="I449" s="736" t="s">
        <v>189</v>
      </c>
      <c r="J449" s="738">
        <v>562</v>
      </c>
      <c r="K449" s="709"/>
      <c r="L449" s="757"/>
    </row>
    <row r="450" spans="1:12" ht="20.25" hidden="1">
      <c r="A450" s="731" t="s">
        <v>128</v>
      </c>
      <c r="B450" s="724" t="s">
        <v>173</v>
      </c>
      <c r="C450" s="734" t="s">
        <v>176</v>
      </c>
      <c r="D450" s="737" t="s">
        <v>177</v>
      </c>
      <c r="E450" s="735">
        <v>16</v>
      </c>
      <c r="F450" s="736" t="s">
        <v>100</v>
      </c>
      <c r="G450" s="727">
        <f>ROUND(armatura!G193,2)</f>
        <v>3720</v>
      </c>
      <c r="H450" s="704" t="s">
        <v>186</v>
      </c>
      <c r="I450" s="736" t="s">
        <v>189</v>
      </c>
      <c r="J450" s="738">
        <v>650</v>
      </c>
      <c r="K450" s="709"/>
      <c r="L450" s="757"/>
    </row>
    <row r="451" spans="1:12" ht="20.25" hidden="1">
      <c r="A451" s="731" t="s">
        <v>128</v>
      </c>
      <c r="B451" s="724" t="s">
        <v>173</v>
      </c>
      <c r="C451" s="734" t="s">
        <v>178</v>
      </c>
      <c r="D451" s="734" t="s">
        <v>179</v>
      </c>
      <c r="E451" s="735">
        <v>20</v>
      </c>
      <c r="F451" s="736" t="s">
        <v>100</v>
      </c>
      <c r="G451" s="727">
        <f>ROUND(armatura!G194,2)</f>
        <v>8834</v>
      </c>
      <c r="H451" s="704" t="s">
        <v>186</v>
      </c>
      <c r="I451" s="736" t="s">
        <v>189</v>
      </c>
      <c r="J451" s="738">
        <v>700</v>
      </c>
      <c r="K451" s="709"/>
      <c r="L451" s="757"/>
    </row>
    <row r="452" spans="1:12" ht="20.25" hidden="1">
      <c r="A452" s="731" t="s">
        <v>128</v>
      </c>
      <c r="B452" s="724" t="s">
        <v>173</v>
      </c>
      <c r="C452" s="734" t="s">
        <v>190</v>
      </c>
      <c r="D452" s="734" t="s">
        <v>191</v>
      </c>
      <c r="E452" s="735">
        <v>24</v>
      </c>
      <c r="F452" s="736" t="s">
        <v>100</v>
      </c>
      <c r="G452" s="727">
        <f>ROUND(armatura!G195,2)</f>
        <v>9977.5</v>
      </c>
      <c r="H452" s="704" t="s">
        <v>186</v>
      </c>
      <c r="I452" s="736" t="s">
        <v>189</v>
      </c>
      <c r="J452" s="738"/>
      <c r="K452" s="709"/>
      <c r="L452" s="757"/>
    </row>
    <row r="453" spans="1:12" ht="20.25" hidden="1">
      <c r="A453" s="731" t="s">
        <v>128</v>
      </c>
      <c r="B453" s="691"/>
      <c r="C453" s="691"/>
      <c r="D453" s="691"/>
      <c r="E453" s="691"/>
      <c r="F453" s="693"/>
      <c r="G453" s="749"/>
      <c r="H453" s="690"/>
      <c r="I453" s="691"/>
      <c r="J453" s="691"/>
      <c r="K453" s="709"/>
      <c r="L453" s="757"/>
    </row>
    <row r="454" spans="1:12" ht="16.5" hidden="1">
      <c r="A454" s="731" t="s">
        <v>128</v>
      </c>
      <c r="B454" s="724" t="s">
        <v>192</v>
      </c>
      <c r="C454" s="705" t="s">
        <v>47</v>
      </c>
      <c r="D454" s="705" t="s">
        <v>99</v>
      </c>
      <c r="E454" s="735" t="s">
        <v>22</v>
      </c>
      <c r="F454" s="736" t="s">
        <v>100</v>
      </c>
      <c r="G454" s="727">
        <f>ROUND(armatura!G197,2)</f>
        <v>94.5</v>
      </c>
      <c r="H454" s="704" t="s">
        <v>186</v>
      </c>
      <c r="I454" s="736"/>
      <c r="J454" s="738">
        <v>25</v>
      </c>
      <c r="K454" s="736" t="s">
        <v>193</v>
      </c>
      <c r="L454" s="757"/>
    </row>
    <row r="455" spans="1:12" ht="16.5" hidden="1">
      <c r="A455" s="731" t="s">
        <v>128</v>
      </c>
      <c r="B455" s="724" t="s">
        <v>192</v>
      </c>
      <c r="C455" s="705" t="s">
        <v>49</v>
      </c>
      <c r="D455" s="705" t="s">
        <v>104</v>
      </c>
      <c r="E455" s="735" t="s">
        <v>24</v>
      </c>
      <c r="F455" s="736" t="s">
        <v>100</v>
      </c>
      <c r="G455" s="727">
        <f>ROUND(armatura!G198,2)</f>
        <v>97</v>
      </c>
      <c r="H455" s="704" t="s">
        <v>186</v>
      </c>
      <c r="I455" s="736"/>
      <c r="J455" s="738">
        <v>30</v>
      </c>
      <c r="K455" s="736" t="s">
        <v>193</v>
      </c>
      <c r="L455" s="757"/>
    </row>
    <row r="456" spans="1:12" ht="16.5" hidden="1">
      <c r="A456" s="731" t="s">
        <v>128</v>
      </c>
      <c r="B456" s="724" t="s">
        <v>192</v>
      </c>
      <c r="C456" s="705" t="s">
        <v>51</v>
      </c>
      <c r="D456" s="705" t="s">
        <v>105</v>
      </c>
      <c r="E456" s="735">
        <v>1</v>
      </c>
      <c r="F456" s="736" t="s">
        <v>100</v>
      </c>
      <c r="G456" s="727">
        <f>ROUND(armatura!G199,2)</f>
        <v>107.5</v>
      </c>
      <c r="H456" s="704" t="s">
        <v>186</v>
      </c>
      <c r="I456" s="736"/>
      <c r="J456" s="738">
        <v>35</v>
      </c>
      <c r="K456" s="736" t="s">
        <v>193</v>
      </c>
      <c r="L456" s="757"/>
    </row>
    <row r="457" spans="1:12" ht="16.5" hidden="1">
      <c r="A457" s="731" t="s">
        <v>128</v>
      </c>
      <c r="B457" s="724" t="s">
        <v>192</v>
      </c>
      <c r="C457" s="705" t="s">
        <v>53</v>
      </c>
      <c r="D457" s="705" t="s">
        <v>106</v>
      </c>
      <c r="E457" s="744">
        <v>1.25</v>
      </c>
      <c r="F457" s="736" t="s">
        <v>100</v>
      </c>
      <c r="G457" s="727">
        <f>ROUND(armatura!G200,2)</f>
        <v>149.5</v>
      </c>
      <c r="H457" s="704" t="s">
        <v>186</v>
      </c>
      <c r="I457" s="736"/>
      <c r="J457" s="738">
        <v>50</v>
      </c>
      <c r="K457" s="736" t="s">
        <v>193</v>
      </c>
      <c r="L457" s="757"/>
    </row>
    <row r="458" spans="1:12" ht="16.5" hidden="1">
      <c r="A458" s="731" t="s">
        <v>128</v>
      </c>
      <c r="B458" s="724" t="s">
        <v>192</v>
      </c>
      <c r="C458" s="705" t="s">
        <v>55</v>
      </c>
      <c r="D458" s="705" t="s">
        <v>107</v>
      </c>
      <c r="E458" s="744">
        <v>1.5</v>
      </c>
      <c r="F458" s="736" t="s">
        <v>100</v>
      </c>
      <c r="G458" s="727">
        <f>ROUND(armatura!G201,2)</f>
        <v>170</v>
      </c>
      <c r="H458" s="704" t="s">
        <v>186</v>
      </c>
      <c r="I458" s="736"/>
      <c r="J458" s="738">
        <v>55</v>
      </c>
      <c r="K458" s="736" t="s">
        <v>193</v>
      </c>
      <c r="L458" s="757"/>
    </row>
    <row r="459" spans="1:12" ht="16.5" hidden="1">
      <c r="A459" s="731" t="s">
        <v>128</v>
      </c>
      <c r="B459" s="724" t="s">
        <v>192</v>
      </c>
      <c r="C459" s="705" t="s">
        <v>57</v>
      </c>
      <c r="D459" s="705" t="s">
        <v>31</v>
      </c>
      <c r="E459" s="735">
        <v>2</v>
      </c>
      <c r="F459" s="736" t="s">
        <v>100</v>
      </c>
      <c r="G459" s="727">
        <f>ROUND(armatura!G202,2)</f>
        <v>234.5</v>
      </c>
      <c r="H459" s="704" t="s">
        <v>186</v>
      </c>
      <c r="I459" s="736"/>
      <c r="J459" s="738">
        <v>75</v>
      </c>
      <c r="K459" s="736" t="s">
        <v>193</v>
      </c>
      <c r="L459" s="757"/>
    </row>
    <row r="460" spans="1:12" ht="16.5" hidden="1">
      <c r="A460" s="731" t="s">
        <v>128</v>
      </c>
      <c r="B460" s="691"/>
      <c r="C460" s="691"/>
      <c r="D460" s="691"/>
      <c r="E460" s="691"/>
      <c r="F460" s="693"/>
      <c r="G460" s="749"/>
      <c r="H460" s="690"/>
      <c r="I460" s="691"/>
      <c r="J460" s="691"/>
      <c r="K460" s="736" t="s">
        <v>194</v>
      </c>
      <c r="L460" s="757"/>
    </row>
    <row r="461" spans="1:12" ht="16.5" hidden="1">
      <c r="A461" s="731" t="s">
        <v>128</v>
      </c>
      <c r="B461" s="724" t="s">
        <v>152</v>
      </c>
      <c r="C461" s="734" t="s">
        <v>59</v>
      </c>
      <c r="D461" s="844" t="s">
        <v>33</v>
      </c>
      <c r="E461" s="845" t="s">
        <v>34</v>
      </c>
      <c r="F461" s="736" t="s">
        <v>100</v>
      </c>
      <c r="G461" s="727">
        <f>ROUND(armatura!G204,2)</f>
        <v>512</v>
      </c>
      <c r="H461" s="704" t="s">
        <v>186</v>
      </c>
      <c r="I461" s="736"/>
      <c r="J461" s="738">
        <v>120</v>
      </c>
      <c r="K461" s="736" t="s">
        <v>194</v>
      </c>
      <c r="L461" s="757"/>
    </row>
    <row r="462" spans="1:12" ht="16.5" hidden="1">
      <c r="A462" s="731" t="s">
        <v>128</v>
      </c>
      <c r="B462" s="724" t="s">
        <v>152</v>
      </c>
      <c r="C462" s="734" t="s">
        <v>60</v>
      </c>
      <c r="D462" s="700" t="s">
        <v>35</v>
      </c>
      <c r="E462" s="735">
        <v>3</v>
      </c>
      <c r="F462" s="736" t="s">
        <v>100</v>
      </c>
      <c r="G462" s="727">
        <f>ROUND(armatura!G205,2)</f>
        <v>656</v>
      </c>
      <c r="H462" s="704" t="s">
        <v>186</v>
      </c>
      <c r="I462" s="736"/>
      <c r="J462" s="738">
        <v>150</v>
      </c>
      <c r="K462" s="736" t="s">
        <v>194</v>
      </c>
      <c r="L462" s="757"/>
    </row>
    <row r="463" spans="1:12" ht="16.5" hidden="1">
      <c r="A463" s="731" t="s">
        <v>128</v>
      </c>
      <c r="B463" s="724" t="s">
        <v>152</v>
      </c>
      <c r="C463" s="734" t="s">
        <v>62</v>
      </c>
      <c r="D463" s="844" t="s">
        <v>37</v>
      </c>
      <c r="E463" s="735">
        <v>4</v>
      </c>
      <c r="F463" s="736" t="s">
        <v>100</v>
      </c>
      <c r="G463" s="727">
        <f>ROUND(armatura!G206,2)</f>
        <v>938.5</v>
      </c>
      <c r="H463" s="704" t="s">
        <v>186</v>
      </c>
      <c r="I463" s="736"/>
      <c r="J463" s="738">
        <v>162</v>
      </c>
      <c r="K463" s="736" t="s">
        <v>194</v>
      </c>
      <c r="L463" s="757"/>
    </row>
    <row r="464" spans="1:12" ht="16.5" hidden="1">
      <c r="A464" s="731" t="s">
        <v>128</v>
      </c>
      <c r="B464" s="724" t="s">
        <v>152</v>
      </c>
      <c r="C464" s="734" t="s">
        <v>63</v>
      </c>
      <c r="D464" s="737" t="s">
        <v>168</v>
      </c>
      <c r="E464" s="735">
        <v>5</v>
      </c>
      <c r="F464" s="736" t="s">
        <v>100</v>
      </c>
      <c r="G464" s="727">
        <f>ROUND(armatura!G207,2)</f>
        <v>1334.5</v>
      </c>
      <c r="H464" s="704" t="s">
        <v>186</v>
      </c>
      <c r="I464" s="736"/>
      <c r="J464" s="738">
        <v>200</v>
      </c>
      <c r="K464" s="736" t="s">
        <v>194</v>
      </c>
      <c r="L464" s="757"/>
    </row>
    <row r="465" spans="1:12" ht="16.5" hidden="1">
      <c r="A465" s="731" t="s">
        <v>128</v>
      </c>
      <c r="B465" s="724" t="s">
        <v>152</v>
      </c>
      <c r="C465" s="734" t="s">
        <v>66</v>
      </c>
      <c r="D465" s="737" t="s">
        <v>169</v>
      </c>
      <c r="E465" s="735">
        <v>6</v>
      </c>
      <c r="F465" s="736" t="s">
        <v>100</v>
      </c>
      <c r="G465" s="727">
        <f>ROUND(armatura!G208,2)</f>
        <v>1631</v>
      </c>
      <c r="H465" s="704" t="s">
        <v>186</v>
      </c>
      <c r="I465" s="736"/>
      <c r="J465" s="738">
        <v>250</v>
      </c>
      <c r="K465" s="736" t="s">
        <v>194</v>
      </c>
      <c r="L465" s="757"/>
    </row>
    <row r="466" spans="1:12" ht="16.5" hidden="1">
      <c r="A466" s="731" t="s">
        <v>128</v>
      </c>
      <c r="B466" s="724" t="s">
        <v>152</v>
      </c>
      <c r="C466" s="734" t="s">
        <v>121</v>
      </c>
      <c r="D466" s="737" t="s">
        <v>170</v>
      </c>
      <c r="E466" s="735">
        <v>8</v>
      </c>
      <c r="F466" s="736" t="s">
        <v>100</v>
      </c>
      <c r="G466" s="727">
        <f>ROUND(armatura!G209,2)</f>
        <v>3791</v>
      </c>
      <c r="H466" s="704" t="s">
        <v>186</v>
      </c>
      <c r="I466" s="736"/>
      <c r="J466" s="738">
        <v>325</v>
      </c>
      <c r="K466" s="736" t="s">
        <v>194</v>
      </c>
      <c r="L466" s="757"/>
    </row>
    <row r="467" spans="1:12" ht="16.5" hidden="1">
      <c r="A467" s="731" t="s">
        <v>128</v>
      </c>
      <c r="B467" s="724" t="s">
        <v>152</v>
      </c>
      <c r="C467" s="734" t="s">
        <v>122</v>
      </c>
      <c r="D467" s="737" t="s">
        <v>171</v>
      </c>
      <c r="E467" s="735">
        <v>10</v>
      </c>
      <c r="F467" s="736" t="s">
        <v>100</v>
      </c>
      <c r="G467" s="727">
        <f>ROUND(armatura!G210,2)</f>
        <v>5814.5</v>
      </c>
      <c r="H467" s="704" t="s">
        <v>186</v>
      </c>
      <c r="I467" s="736"/>
      <c r="J467" s="738">
        <v>400</v>
      </c>
      <c r="K467" s="736" t="s">
        <v>194</v>
      </c>
      <c r="L467" s="757"/>
    </row>
    <row r="468" spans="1:12" ht="16.5" hidden="1">
      <c r="A468" s="731" t="s">
        <v>128</v>
      </c>
      <c r="B468" s="724" t="s">
        <v>152</v>
      </c>
      <c r="C468" s="734" t="s">
        <v>156</v>
      </c>
      <c r="D468" s="737" t="s">
        <v>172</v>
      </c>
      <c r="E468" s="735">
        <v>12</v>
      </c>
      <c r="F468" s="736" t="s">
        <v>100</v>
      </c>
      <c r="G468" s="727">
        <f>ROUND(armatura!G211,2)</f>
        <v>9585</v>
      </c>
      <c r="H468" s="704" t="s">
        <v>186</v>
      </c>
      <c r="I468" s="736"/>
      <c r="J468" s="738">
        <v>487</v>
      </c>
      <c r="K468" s="736" t="s">
        <v>194</v>
      </c>
      <c r="L468" s="757"/>
    </row>
    <row r="469" spans="1:12" hidden="1">
      <c r="A469" s="689"/>
      <c r="B469" s="691"/>
      <c r="C469" s="691"/>
      <c r="D469" s="691"/>
      <c r="E469" s="691"/>
      <c r="F469" s="693"/>
      <c r="G469" s="749"/>
      <c r="H469" s="690"/>
      <c r="I469" s="691"/>
      <c r="J469" s="691"/>
      <c r="K469" s="709"/>
      <c r="L469" s="757"/>
    </row>
    <row r="470" spans="1:12" hidden="1">
      <c r="A470" s="689" t="s">
        <v>195</v>
      </c>
      <c r="B470" s="724" t="s">
        <v>98</v>
      </c>
      <c r="C470" s="705" t="s">
        <v>94</v>
      </c>
      <c r="D470" s="705" t="s">
        <v>185</v>
      </c>
      <c r="E470" s="744">
        <v>0.375</v>
      </c>
      <c r="F470" s="736" t="s">
        <v>100</v>
      </c>
      <c r="G470" s="727">
        <f>ROUND(armatura!G213,2)</f>
        <v>13.32</v>
      </c>
      <c r="H470" s="704" t="s">
        <v>130</v>
      </c>
      <c r="I470" s="736" t="s">
        <v>196</v>
      </c>
      <c r="J470" s="738">
        <v>25</v>
      </c>
      <c r="K470" s="709"/>
      <c r="L470" s="757"/>
    </row>
    <row r="471" spans="1:12" hidden="1">
      <c r="A471" s="689" t="s">
        <v>195</v>
      </c>
      <c r="B471" s="724" t="s">
        <v>98</v>
      </c>
      <c r="C471" s="734" t="s">
        <v>47</v>
      </c>
      <c r="D471" s="705" t="s">
        <v>99</v>
      </c>
      <c r="E471" s="735" t="s">
        <v>22</v>
      </c>
      <c r="F471" s="736" t="s">
        <v>100</v>
      </c>
      <c r="G471" s="727">
        <f>ROUND(armatura!G214,2)</f>
        <v>17.760000000000002</v>
      </c>
      <c r="H471" s="704" t="s">
        <v>130</v>
      </c>
      <c r="I471" s="736" t="s">
        <v>196</v>
      </c>
      <c r="J471" s="738">
        <v>25</v>
      </c>
      <c r="K471" s="709"/>
      <c r="L471" s="757"/>
    </row>
    <row r="472" spans="1:12" hidden="1">
      <c r="A472" s="689" t="s">
        <v>195</v>
      </c>
      <c r="B472" s="724" t="s">
        <v>98</v>
      </c>
      <c r="C472" s="734" t="s">
        <v>49</v>
      </c>
      <c r="D472" s="705" t="s">
        <v>104</v>
      </c>
      <c r="E472" s="735" t="s">
        <v>24</v>
      </c>
      <c r="F472" s="736" t="s">
        <v>100</v>
      </c>
      <c r="G472" s="727">
        <f>ROUND(armatura!G215,2)</f>
        <v>25.38</v>
      </c>
      <c r="H472" s="704" t="s">
        <v>130</v>
      </c>
      <c r="I472" s="736" t="s">
        <v>196</v>
      </c>
      <c r="J472" s="738">
        <v>30</v>
      </c>
      <c r="K472" s="709"/>
      <c r="L472" s="757"/>
    </row>
    <row r="473" spans="1:12" hidden="1">
      <c r="A473" s="689" t="s">
        <v>195</v>
      </c>
      <c r="B473" s="724" t="s">
        <v>98</v>
      </c>
      <c r="C473" s="734" t="s">
        <v>51</v>
      </c>
      <c r="D473" s="705" t="s">
        <v>105</v>
      </c>
      <c r="E473" s="735">
        <v>1</v>
      </c>
      <c r="F473" s="736" t="s">
        <v>100</v>
      </c>
      <c r="G473" s="727">
        <f>ROUND(armatura!G216,2)</f>
        <v>40.5</v>
      </c>
      <c r="H473" s="704" t="s">
        <v>130</v>
      </c>
      <c r="I473" s="736" t="s">
        <v>196</v>
      </c>
      <c r="J473" s="738">
        <v>35</v>
      </c>
      <c r="K473" s="709"/>
      <c r="L473" s="757"/>
    </row>
    <row r="474" spans="1:12" hidden="1">
      <c r="A474" s="689" t="s">
        <v>195</v>
      </c>
      <c r="B474" s="724" t="s">
        <v>98</v>
      </c>
      <c r="C474" s="734" t="s">
        <v>53</v>
      </c>
      <c r="D474" s="705" t="s">
        <v>106</v>
      </c>
      <c r="E474" s="744">
        <v>1.25</v>
      </c>
      <c r="F474" s="736" t="s">
        <v>100</v>
      </c>
      <c r="G474" s="727">
        <f>ROUND(armatura!G217,2)</f>
        <v>74.040000000000006</v>
      </c>
      <c r="H474" s="704" t="s">
        <v>130</v>
      </c>
      <c r="I474" s="736" t="s">
        <v>196</v>
      </c>
      <c r="J474" s="738">
        <v>50</v>
      </c>
      <c r="K474" s="709"/>
      <c r="L474" s="757"/>
    </row>
    <row r="475" spans="1:12" hidden="1">
      <c r="A475" s="689" t="s">
        <v>195</v>
      </c>
      <c r="B475" s="724" t="s">
        <v>98</v>
      </c>
      <c r="C475" s="734" t="s">
        <v>55</v>
      </c>
      <c r="D475" s="705" t="s">
        <v>107</v>
      </c>
      <c r="E475" s="744">
        <v>1.5</v>
      </c>
      <c r="F475" s="736" t="s">
        <v>100</v>
      </c>
      <c r="G475" s="727">
        <f>ROUND(armatura!G218,2)</f>
        <v>113.76</v>
      </c>
      <c r="H475" s="704" t="s">
        <v>130</v>
      </c>
      <c r="I475" s="736" t="s">
        <v>196</v>
      </c>
      <c r="J475" s="738">
        <v>55</v>
      </c>
      <c r="K475" s="709"/>
      <c r="L475" s="757"/>
    </row>
    <row r="476" spans="1:12" hidden="1">
      <c r="A476" s="689" t="s">
        <v>195</v>
      </c>
      <c r="B476" s="724" t="s">
        <v>98</v>
      </c>
      <c r="C476" s="734" t="s">
        <v>57</v>
      </c>
      <c r="D476" s="705" t="s">
        <v>31</v>
      </c>
      <c r="E476" s="735">
        <v>2</v>
      </c>
      <c r="F476" s="736" t="s">
        <v>100</v>
      </c>
      <c r="G476" s="727">
        <f>ROUND(armatura!G219,2)</f>
        <v>159.24</v>
      </c>
      <c r="H476" s="704" t="s">
        <v>130</v>
      </c>
      <c r="I476" s="736" t="s">
        <v>196</v>
      </c>
      <c r="J476" s="738">
        <v>75</v>
      </c>
      <c r="K476" s="709"/>
      <c r="L476" s="757"/>
    </row>
    <row r="477" spans="1:12" hidden="1">
      <c r="A477" s="689" t="s">
        <v>195</v>
      </c>
      <c r="B477" s="691"/>
      <c r="C477" s="691"/>
      <c r="D477" s="691"/>
      <c r="E477" s="691"/>
      <c r="F477" s="693"/>
      <c r="G477" s="749"/>
      <c r="H477" s="690"/>
      <c r="I477" s="691"/>
      <c r="J477" s="691"/>
      <c r="K477" s="709"/>
      <c r="L477" s="757"/>
    </row>
    <row r="478" spans="1:12" hidden="1">
      <c r="A478" s="689" t="s">
        <v>195</v>
      </c>
      <c r="B478" s="724" t="s">
        <v>197</v>
      </c>
      <c r="C478" s="734" t="s">
        <v>59</v>
      </c>
      <c r="D478" s="844" t="s">
        <v>33</v>
      </c>
      <c r="E478" s="845" t="s">
        <v>34</v>
      </c>
      <c r="F478" s="736" t="s">
        <v>100</v>
      </c>
      <c r="G478" s="727">
        <f>ROUND(armatura!G221,2)</f>
        <v>599.45000000000005</v>
      </c>
      <c r="H478" s="704" t="s">
        <v>130</v>
      </c>
      <c r="I478" s="736" t="s">
        <v>196</v>
      </c>
      <c r="J478" s="738">
        <v>120</v>
      </c>
      <c r="K478" s="709"/>
      <c r="L478" s="757"/>
    </row>
    <row r="479" spans="1:12" hidden="1">
      <c r="A479" s="689" t="s">
        <v>195</v>
      </c>
      <c r="B479" s="724" t="s">
        <v>197</v>
      </c>
      <c r="C479" s="734" t="s">
        <v>60</v>
      </c>
      <c r="D479" s="700" t="s">
        <v>35</v>
      </c>
      <c r="E479" s="735">
        <v>3</v>
      </c>
      <c r="F479" s="736" t="s">
        <v>100</v>
      </c>
      <c r="G479" s="727">
        <f>ROUND(armatura!G222,2)</f>
        <v>763.8</v>
      </c>
      <c r="H479" s="704" t="s">
        <v>130</v>
      </c>
      <c r="I479" s="736" t="s">
        <v>196</v>
      </c>
      <c r="J479" s="738">
        <v>150</v>
      </c>
      <c r="K479" s="709"/>
      <c r="L479" s="757"/>
    </row>
    <row r="480" spans="1:12" hidden="1">
      <c r="A480" s="689" t="s">
        <v>195</v>
      </c>
      <c r="B480" s="724" t="s">
        <v>197</v>
      </c>
      <c r="C480" s="734" t="s">
        <v>62</v>
      </c>
      <c r="D480" s="844" t="s">
        <v>37</v>
      </c>
      <c r="E480" s="735">
        <v>4</v>
      </c>
      <c r="F480" s="736" t="s">
        <v>100</v>
      </c>
      <c r="G480" s="727">
        <f>ROUND(armatura!G223,2)</f>
        <v>1164.05</v>
      </c>
      <c r="H480" s="704" t="s">
        <v>130</v>
      </c>
      <c r="I480" s="736" t="s">
        <v>196</v>
      </c>
      <c r="J480" s="738">
        <v>162</v>
      </c>
      <c r="K480" s="709"/>
      <c r="L480" s="757"/>
    </row>
    <row r="481" spans="1:12" hidden="1">
      <c r="A481" s="689" t="s">
        <v>195</v>
      </c>
      <c r="B481" s="724" t="s">
        <v>197</v>
      </c>
      <c r="C481" s="734" t="s">
        <v>63</v>
      </c>
      <c r="D481" s="737" t="s">
        <v>168</v>
      </c>
      <c r="E481" s="735">
        <v>5</v>
      </c>
      <c r="F481" s="736" t="s">
        <v>100</v>
      </c>
      <c r="G481" s="727">
        <f>ROUND(armatura!G224,2)</f>
        <v>2031.8</v>
      </c>
      <c r="H481" s="704" t="s">
        <v>130</v>
      </c>
      <c r="I481" s="736" t="s">
        <v>196</v>
      </c>
      <c r="J481" s="738">
        <v>200</v>
      </c>
      <c r="K481" s="709"/>
      <c r="L481" s="757"/>
    </row>
    <row r="482" spans="1:12" hidden="1">
      <c r="A482" s="689" t="s">
        <v>195</v>
      </c>
      <c r="B482" s="724" t="s">
        <v>197</v>
      </c>
      <c r="C482" s="734" t="s">
        <v>66</v>
      </c>
      <c r="D482" s="737" t="s">
        <v>169</v>
      </c>
      <c r="E482" s="735">
        <v>6</v>
      </c>
      <c r="F482" s="736" t="s">
        <v>100</v>
      </c>
      <c r="G482" s="727">
        <f>ROUND(armatura!G225,2)</f>
        <v>2587.4499999999998</v>
      </c>
      <c r="H482" s="704" t="s">
        <v>130</v>
      </c>
      <c r="I482" s="736" t="s">
        <v>196</v>
      </c>
      <c r="J482" s="738">
        <v>250</v>
      </c>
      <c r="K482" s="709"/>
      <c r="L482" s="757"/>
    </row>
    <row r="483" spans="1:12" hidden="1">
      <c r="A483" s="689" t="s">
        <v>195</v>
      </c>
      <c r="B483" s="724" t="s">
        <v>197</v>
      </c>
      <c r="C483" s="734" t="s">
        <v>121</v>
      </c>
      <c r="D483" s="737" t="s">
        <v>170</v>
      </c>
      <c r="E483" s="735">
        <v>8</v>
      </c>
      <c r="F483" s="736" t="s">
        <v>100</v>
      </c>
      <c r="G483" s="727">
        <f>ROUND(armatura!G226,2)</f>
        <v>4752.8500000000004</v>
      </c>
      <c r="H483" s="704" t="s">
        <v>130</v>
      </c>
      <c r="I483" s="736" t="s">
        <v>196</v>
      </c>
      <c r="J483" s="738">
        <v>325</v>
      </c>
      <c r="K483" s="709"/>
      <c r="L483" s="757"/>
    </row>
    <row r="484" spans="1:12" hidden="1">
      <c r="A484" s="689"/>
      <c r="B484" s="691"/>
      <c r="C484" s="691"/>
      <c r="D484" s="691"/>
      <c r="E484" s="691"/>
      <c r="F484" s="693"/>
      <c r="G484" s="749"/>
      <c r="H484" s="690"/>
      <c r="I484" s="691"/>
      <c r="J484" s="691"/>
      <c r="K484" s="709"/>
      <c r="L484" s="757"/>
    </row>
    <row r="485" spans="1:12" ht="16.5" hidden="1">
      <c r="A485" s="731" t="s">
        <v>128</v>
      </c>
      <c r="B485" s="724" t="s">
        <v>197</v>
      </c>
      <c r="C485" s="734" t="s">
        <v>59</v>
      </c>
      <c r="D485" s="844" t="s">
        <v>33</v>
      </c>
      <c r="E485" s="845" t="s">
        <v>34</v>
      </c>
      <c r="F485" s="736" t="s">
        <v>100</v>
      </c>
      <c r="G485" s="727">
        <f>ROUND(armatura!G228,2)</f>
        <v>599.45000000000005</v>
      </c>
      <c r="H485" s="704" t="s">
        <v>130</v>
      </c>
      <c r="I485" s="736"/>
      <c r="J485" s="738">
        <v>120</v>
      </c>
      <c r="K485" s="709"/>
      <c r="L485" s="757"/>
    </row>
    <row r="486" spans="1:12" ht="16.5" hidden="1">
      <c r="A486" s="731" t="s">
        <v>128</v>
      </c>
      <c r="B486" s="724" t="s">
        <v>197</v>
      </c>
      <c r="C486" s="734" t="s">
        <v>60</v>
      </c>
      <c r="D486" s="700" t="s">
        <v>35</v>
      </c>
      <c r="E486" s="735">
        <v>3</v>
      </c>
      <c r="F486" s="736" t="s">
        <v>100</v>
      </c>
      <c r="G486" s="727">
        <f>ROUND(armatura!G229,2)</f>
        <v>763.8</v>
      </c>
      <c r="H486" s="704" t="s">
        <v>130</v>
      </c>
      <c r="I486" s="736"/>
      <c r="J486" s="738">
        <v>150</v>
      </c>
      <c r="K486" s="709"/>
      <c r="L486" s="757"/>
    </row>
    <row r="487" spans="1:12" ht="16.5" hidden="1">
      <c r="A487" s="731" t="s">
        <v>128</v>
      </c>
      <c r="B487" s="724" t="s">
        <v>197</v>
      </c>
      <c r="C487" s="734" t="s">
        <v>62</v>
      </c>
      <c r="D487" s="844" t="s">
        <v>37</v>
      </c>
      <c r="E487" s="735">
        <v>4</v>
      </c>
      <c r="F487" s="736" t="s">
        <v>100</v>
      </c>
      <c r="G487" s="727">
        <f>ROUND(armatura!G230,2)</f>
        <v>1164.05</v>
      </c>
      <c r="H487" s="704" t="s">
        <v>130</v>
      </c>
      <c r="I487" s="736"/>
      <c r="J487" s="738">
        <v>162</v>
      </c>
      <c r="K487" s="709"/>
      <c r="L487" s="757"/>
    </row>
    <row r="488" spans="1:12" ht="16.5" hidden="1">
      <c r="A488" s="731" t="s">
        <v>128</v>
      </c>
      <c r="B488" s="724" t="s">
        <v>197</v>
      </c>
      <c r="C488" s="734" t="s">
        <v>63</v>
      </c>
      <c r="D488" s="737" t="s">
        <v>168</v>
      </c>
      <c r="E488" s="735">
        <v>5</v>
      </c>
      <c r="F488" s="736" t="s">
        <v>100</v>
      </c>
      <c r="G488" s="727">
        <f>ROUND(armatura!G231,2)</f>
        <v>2031.8</v>
      </c>
      <c r="H488" s="704" t="s">
        <v>130</v>
      </c>
      <c r="I488" s="736"/>
      <c r="J488" s="738">
        <v>200</v>
      </c>
      <c r="K488" s="709"/>
      <c r="L488" s="757"/>
    </row>
    <row r="489" spans="1:12" ht="16.5" hidden="1">
      <c r="A489" s="731" t="s">
        <v>128</v>
      </c>
      <c r="B489" s="724" t="s">
        <v>197</v>
      </c>
      <c r="C489" s="734" t="s">
        <v>66</v>
      </c>
      <c r="D489" s="737" t="s">
        <v>169</v>
      </c>
      <c r="E489" s="735">
        <v>6</v>
      </c>
      <c r="F489" s="736" t="s">
        <v>100</v>
      </c>
      <c r="G489" s="727">
        <f>ROUND(armatura!G232,2)</f>
        <v>2587.4499999999998</v>
      </c>
      <c r="H489" s="704" t="s">
        <v>130</v>
      </c>
      <c r="I489" s="736"/>
      <c r="J489" s="738">
        <v>250</v>
      </c>
      <c r="K489" s="709"/>
      <c r="L489" s="757"/>
    </row>
    <row r="490" spans="1:12" ht="16.5" hidden="1">
      <c r="A490" s="731" t="s">
        <v>128</v>
      </c>
      <c r="B490" s="724" t="s">
        <v>197</v>
      </c>
      <c r="C490" s="734" t="s">
        <v>121</v>
      </c>
      <c r="D490" s="737" t="s">
        <v>170</v>
      </c>
      <c r="E490" s="735">
        <v>8</v>
      </c>
      <c r="F490" s="736" t="s">
        <v>100</v>
      </c>
      <c r="G490" s="727">
        <f>ROUND(armatura!G233,2)</f>
        <v>4362.8500000000004</v>
      </c>
      <c r="H490" s="704" t="s">
        <v>130</v>
      </c>
      <c r="I490" s="736"/>
      <c r="J490" s="738">
        <v>325</v>
      </c>
      <c r="K490" s="709"/>
      <c r="L490" s="757"/>
    </row>
    <row r="491" spans="1:12" ht="20.25" hidden="1">
      <c r="A491" s="731" t="s">
        <v>128</v>
      </c>
      <c r="B491" s="691"/>
      <c r="C491" s="691"/>
      <c r="D491" s="691"/>
      <c r="E491" s="691"/>
      <c r="F491" s="693"/>
      <c r="G491" s="749"/>
      <c r="H491" s="690"/>
      <c r="I491" s="691"/>
      <c r="J491" s="691"/>
      <c r="K491" s="709"/>
      <c r="L491" s="757"/>
    </row>
    <row r="492" spans="1:12" ht="16.5" hidden="1">
      <c r="A492" s="731" t="s">
        <v>128</v>
      </c>
      <c r="B492" s="724" t="s">
        <v>197</v>
      </c>
      <c r="C492" s="734" t="s">
        <v>59</v>
      </c>
      <c r="D492" s="844" t="s">
        <v>33</v>
      </c>
      <c r="E492" s="845" t="s">
        <v>34</v>
      </c>
      <c r="F492" s="736" t="s">
        <v>100</v>
      </c>
      <c r="G492" s="727">
        <f>ROUND(armatura!G235,2)</f>
        <v>1423</v>
      </c>
      <c r="H492" s="704" t="s">
        <v>130</v>
      </c>
      <c r="I492" s="736" t="s">
        <v>198</v>
      </c>
      <c r="J492" s="738">
        <v>143</v>
      </c>
      <c r="K492" s="709"/>
      <c r="L492" s="757"/>
    </row>
    <row r="493" spans="1:12" ht="16.5" hidden="1">
      <c r="A493" s="731" t="s">
        <v>128</v>
      </c>
      <c r="B493" s="724" t="s">
        <v>197</v>
      </c>
      <c r="C493" s="734" t="s">
        <v>60</v>
      </c>
      <c r="D493" s="700" t="s">
        <v>35</v>
      </c>
      <c r="E493" s="735">
        <v>3</v>
      </c>
      <c r="F493" s="736" t="s">
        <v>100</v>
      </c>
      <c r="G493" s="727">
        <f>ROUND(armatura!G236,2)</f>
        <v>1813.55</v>
      </c>
      <c r="H493" s="704" t="s">
        <v>130</v>
      </c>
      <c r="I493" s="736" t="s">
        <v>198</v>
      </c>
      <c r="J493" s="738">
        <v>225</v>
      </c>
      <c r="K493" s="709"/>
      <c r="L493" s="757"/>
    </row>
    <row r="494" spans="1:12" ht="16.5" hidden="1">
      <c r="A494" s="731" t="s">
        <v>128</v>
      </c>
      <c r="B494" s="724" t="s">
        <v>197</v>
      </c>
      <c r="C494" s="734" t="s">
        <v>62</v>
      </c>
      <c r="D494" s="844" t="s">
        <v>37</v>
      </c>
      <c r="E494" s="735">
        <v>4</v>
      </c>
      <c r="F494" s="736" t="s">
        <v>100</v>
      </c>
      <c r="G494" s="727">
        <f>ROUND(armatura!G237,2)</f>
        <v>2729.25</v>
      </c>
      <c r="H494" s="704" t="s">
        <v>130</v>
      </c>
      <c r="I494" s="736" t="s">
        <v>198</v>
      </c>
      <c r="J494" s="738">
        <v>243</v>
      </c>
      <c r="K494" s="709"/>
      <c r="L494" s="757"/>
    </row>
    <row r="495" spans="1:12" ht="16.5" hidden="1">
      <c r="A495" s="731" t="s">
        <v>128</v>
      </c>
      <c r="B495" s="724" t="s">
        <v>197</v>
      </c>
      <c r="C495" s="734" t="s">
        <v>63</v>
      </c>
      <c r="D495" s="737" t="s">
        <v>168</v>
      </c>
      <c r="E495" s="735">
        <v>5</v>
      </c>
      <c r="F495" s="736" t="s">
        <v>100</v>
      </c>
      <c r="G495" s="727">
        <f>ROUND(armatura!G238,2)</f>
        <v>3548.25</v>
      </c>
      <c r="H495" s="704" t="s">
        <v>130</v>
      </c>
      <c r="I495" s="736" t="s">
        <v>198</v>
      </c>
      <c r="J495" s="738">
        <v>300</v>
      </c>
      <c r="K495" s="709"/>
      <c r="L495" s="757"/>
    </row>
    <row r="496" spans="1:12" ht="16.5" hidden="1">
      <c r="A496" s="731" t="s">
        <v>128</v>
      </c>
      <c r="B496" s="724" t="s">
        <v>197</v>
      </c>
      <c r="C496" s="734" t="s">
        <v>66</v>
      </c>
      <c r="D496" s="737" t="s">
        <v>169</v>
      </c>
      <c r="E496" s="735">
        <v>6</v>
      </c>
      <c r="F496" s="736" t="s">
        <v>100</v>
      </c>
      <c r="G496" s="727">
        <f>ROUND(armatura!G239,2)</f>
        <v>4259.25</v>
      </c>
      <c r="H496" s="704" t="s">
        <v>130</v>
      </c>
      <c r="I496" s="736" t="s">
        <v>198</v>
      </c>
      <c r="J496" s="738">
        <v>375</v>
      </c>
      <c r="K496" s="709"/>
      <c r="L496" s="757"/>
    </row>
    <row r="497" spans="1:12" ht="16.5" hidden="1">
      <c r="A497" s="731" t="s">
        <v>128</v>
      </c>
      <c r="B497" s="724" t="s">
        <v>197</v>
      </c>
      <c r="C497" s="734" t="s">
        <v>121</v>
      </c>
      <c r="D497" s="737" t="s">
        <v>170</v>
      </c>
      <c r="E497" s="735">
        <v>8</v>
      </c>
      <c r="F497" s="736" t="s">
        <v>100</v>
      </c>
      <c r="G497" s="727">
        <f>ROUND(armatura!G240,2)</f>
        <v>7781.2</v>
      </c>
      <c r="H497" s="704" t="s">
        <v>130</v>
      </c>
      <c r="I497" s="736" t="s">
        <v>198</v>
      </c>
      <c r="J497" s="738">
        <v>488</v>
      </c>
      <c r="K497" s="709"/>
      <c r="L497" s="757"/>
    </row>
    <row r="498" spans="1:12" ht="16.5" hidden="1">
      <c r="A498" s="731" t="s">
        <v>128</v>
      </c>
      <c r="B498" s="724" t="s">
        <v>197</v>
      </c>
      <c r="C498" s="734" t="s">
        <v>122</v>
      </c>
      <c r="D498" s="737" t="s">
        <v>171</v>
      </c>
      <c r="E498" s="735">
        <v>10</v>
      </c>
      <c r="F498" s="736" t="s">
        <v>100</v>
      </c>
      <c r="G498" s="727">
        <f>ROUND(armatura!G241,2)</f>
        <v>15734.8</v>
      </c>
      <c r="H498" s="704" t="s">
        <v>130</v>
      </c>
      <c r="I498" s="736" t="s">
        <v>198</v>
      </c>
      <c r="J498" s="738">
        <v>600</v>
      </c>
      <c r="K498" s="709"/>
      <c r="L498" s="757"/>
    </row>
    <row r="499" spans="1:12" ht="20.25" hidden="1">
      <c r="A499" s="731" t="s">
        <v>128</v>
      </c>
      <c r="B499" s="691"/>
      <c r="C499" s="691"/>
      <c r="D499" s="691"/>
      <c r="E499" s="691"/>
      <c r="F499" s="693"/>
      <c r="G499" s="749"/>
      <c r="H499" s="690"/>
      <c r="I499" s="691"/>
      <c r="J499" s="691"/>
      <c r="K499" s="709"/>
      <c r="L499" s="757"/>
    </row>
    <row r="500" spans="1:12" ht="20.25" hidden="1">
      <c r="A500" s="731" t="s">
        <v>128</v>
      </c>
      <c r="B500" s="724" t="s">
        <v>98</v>
      </c>
      <c r="C500" s="734" t="s">
        <v>47</v>
      </c>
      <c r="D500" s="705" t="s">
        <v>99</v>
      </c>
      <c r="E500" s="744">
        <v>0.5</v>
      </c>
      <c r="F500" s="736" t="s">
        <v>100</v>
      </c>
      <c r="G500" s="727">
        <f>ROUND(armatura!G243,2)</f>
        <v>13.08</v>
      </c>
      <c r="H500" s="704" t="s">
        <v>130</v>
      </c>
      <c r="I500" s="736"/>
      <c r="J500" s="752">
        <v>25</v>
      </c>
      <c r="K500" s="709"/>
      <c r="L500" s="757"/>
    </row>
    <row r="501" spans="1:12" ht="20.25" hidden="1">
      <c r="A501" s="731" t="s">
        <v>128</v>
      </c>
      <c r="B501" s="724" t="s">
        <v>98</v>
      </c>
      <c r="C501" s="734" t="s">
        <v>49</v>
      </c>
      <c r="D501" s="705" t="s">
        <v>104</v>
      </c>
      <c r="E501" s="744">
        <v>0.75</v>
      </c>
      <c r="F501" s="736" t="s">
        <v>100</v>
      </c>
      <c r="G501" s="727">
        <f>ROUND(armatura!G244,2)</f>
        <v>18.420000000000002</v>
      </c>
      <c r="H501" s="704" t="s">
        <v>130</v>
      </c>
      <c r="I501" s="736"/>
      <c r="J501" s="752">
        <v>30</v>
      </c>
      <c r="K501" s="709"/>
      <c r="L501" s="757"/>
    </row>
    <row r="502" spans="1:12" ht="20.25" hidden="1">
      <c r="A502" s="731" t="s">
        <v>128</v>
      </c>
      <c r="B502" s="724" t="s">
        <v>98</v>
      </c>
      <c r="C502" s="734" t="s">
        <v>51</v>
      </c>
      <c r="D502" s="705" t="s">
        <v>105</v>
      </c>
      <c r="E502" s="744">
        <v>1</v>
      </c>
      <c r="F502" s="736" t="s">
        <v>100</v>
      </c>
      <c r="G502" s="727">
        <f>ROUND(armatura!G245,2)</f>
        <v>29.64</v>
      </c>
      <c r="H502" s="704" t="s">
        <v>130</v>
      </c>
      <c r="I502" s="736"/>
      <c r="J502" s="752">
        <v>35</v>
      </c>
      <c r="K502" s="709"/>
      <c r="L502" s="757"/>
    </row>
    <row r="503" spans="1:12" ht="20.25" hidden="1">
      <c r="A503" s="731" t="s">
        <v>128</v>
      </c>
      <c r="B503" s="724" t="s">
        <v>98</v>
      </c>
      <c r="C503" s="734" t="s">
        <v>53</v>
      </c>
      <c r="D503" s="705" t="s">
        <v>106</v>
      </c>
      <c r="E503" s="744">
        <v>1.25</v>
      </c>
      <c r="F503" s="736" t="s">
        <v>100</v>
      </c>
      <c r="G503" s="727">
        <f>ROUND(armatura!G246,2)</f>
        <v>41.4</v>
      </c>
      <c r="H503" s="704" t="s">
        <v>130</v>
      </c>
      <c r="I503" s="736"/>
      <c r="J503" s="752">
        <v>50</v>
      </c>
      <c r="K503" s="709"/>
      <c r="L503" s="757"/>
    </row>
    <row r="504" spans="1:12" ht="20.25" hidden="1">
      <c r="A504" s="731" t="s">
        <v>128</v>
      </c>
      <c r="B504" s="724" t="s">
        <v>98</v>
      </c>
      <c r="C504" s="734" t="s">
        <v>55</v>
      </c>
      <c r="D504" s="705" t="s">
        <v>107</v>
      </c>
      <c r="E504" s="744">
        <v>1.5</v>
      </c>
      <c r="F504" s="736" t="s">
        <v>100</v>
      </c>
      <c r="G504" s="727">
        <f>ROUND(armatura!G247,2)</f>
        <v>71.819999999999993</v>
      </c>
      <c r="H504" s="704" t="s">
        <v>130</v>
      </c>
      <c r="I504" s="736"/>
      <c r="J504" s="752">
        <v>55</v>
      </c>
      <c r="K504" s="709"/>
      <c r="L504" s="757"/>
    </row>
    <row r="505" spans="1:12" ht="20.25" hidden="1">
      <c r="A505" s="731" t="s">
        <v>128</v>
      </c>
      <c r="B505" s="724" t="s">
        <v>98</v>
      </c>
      <c r="C505" s="734" t="s">
        <v>57</v>
      </c>
      <c r="D505" s="705" t="s">
        <v>31</v>
      </c>
      <c r="E505" s="744">
        <v>2</v>
      </c>
      <c r="F505" s="736" t="s">
        <v>100</v>
      </c>
      <c r="G505" s="727">
        <f>ROUND(armatura!G248,2)</f>
        <v>101.16</v>
      </c>
      <c r="H505" s="704" t="s">
        <v>130</v>
      </c>
      <c r="I505" s="736"/>
      <c r="J505" s="752">
        <v>75</v>
      </c>
      <c r="K505" s="709"/>
      <c r="L505" s="757"/>
    </row>
    <row r="506" spans="1:12" ht="20.25" hidden="1">
      <c r="A506" s="731" t="s">
        <v>128</v>
      </c>
      <c r="B506" s="691"/>
      <c r="C506" s="691"/>
      <c r="D506" s="691"/>
      <c r="E506" s="758"/>
      <c r="F506" s="759"/>
      <c r="G506" s="749"/>
      <c r="H506" s="690"/>
      <c r="I506" s="693"/>
      <c r="J506" s="691"/>
      <c r="K506" s="709"/>
      <c r="L506" s="757"/>
    </row>
    <row r="507" spans="1:12" ht="16.5" hidden="1">
      <c r="A507" s="731" t="s">
        <v>128</v>
      </c>
      <c r="B507" s="724" t="s">
        <v>149</v>
      </c>
      <c r="C507" s="734" t="s">
        <v>47</v>
      </c>
      <c r="D507" s="705" t="s">
        <v>99</v>
      </c>
      <c r="E507" s="744">
        <v>0.5</v>
      </c>
      <c r="F507" s="736" t="s">
        <v>100</v>
      </c>
      <c r="G507" s="727">
        <f>ROUND(armatura!G250,2)</f>
        <v>14.82</v>
      </c>
      <c r="H507" s="704" t="s">
        <v>130</v>
      </c>
      <c r="I507" s="736"/>
      <c r="J507" s="752">
        <v>25</v>
      </c>
      <c r="K507" s="709"/>
      <c r="L507" s="757"/>
    </row>
    <row r="508" spans="1:12" ht="16.5" hidden="1">
      <c r="A508" s="731" t="s">
        <v>128</v>
      </c>
      <c r="B508" s="724" t="s">
        <v>149</v>
      </c>
      <c r="C508" s="734" t="s">
        <v>49</v>
      </c>
      <c r="D508" s="705" t="s">
        <v>104</v>
      </c>
      <c r="E508" s="744">
        <v>0.75</v>
      </c>
      <c r="F508" s="736" t="s">
        <v>100</v>
      </c>
      <c r="G508" s="727">
        <f>ROUND(armatura!G251,2)</f>
        <v>20.88</v>
      </c>
      <c r="H508" s="704" t="s">
        <v>130</v>
      </c>
      <c r="I508" s="736"/>
      <c r="J508" s="752">
        <v>30</v>
      </c>
      <c r="K508" s="709"/>
      <c r="L508" s="757"/>
    </row>
    <row r="509" spans="1:12" ht="16.5" hidden="1">
      <c r="A509" s="731" t="s">
        <v>128</v>
      </c>
      <c r="B509" s="724" t="s">
        <v>149</v>
      </c>
      <c r="C509" s="734" t="s">
        <v>51</v>
      </c>
      <c r="D509" s="705" t="s">
        <v>105</v>
      </c>
      <c r="E509" s="744">
        <v>1</v>
      </c>
      <c r="F509" s="736" t="s">
        <v>100</v>
      </c>
      <c r="G509" s="727">
        <f>ROUND(armatura!G252,2)</f>
        <v>31.32</v>
      </c>
      <c r="H509" s="704" t="s">
        <v>130</v>
      </c>
      <c r="I509" s="736"/>
      <c r="J509" s="752">
        <v>35</v>
      </c>
      <c r="K509" s="709"/>
      <c r="L509" s="757"/>
    </row>
    <row r="510" spans="1:12" ht="16.5" hidden="1">
      <c r="A510" s="731" t="s">
        <v>128</v>
      </c>
      <c r="B510" s="724" t="s">
        <v>149</v>
      </c>
      <c r="C510" s="734" t="s">
        <v>53</v>
      </c>
      <c r="D510" s="705" t="s">
        <v>106</v>
      </c>
      <c r="E510" s="744">
        <v>1.25</v>
      </c>
      <c r="F510" s="736" t="s">
        <v>100</v>
      </c>
      <c r="G510" s="727">
        <f>ROUND(armatura!G253,2)</f>
        <v>43.92</v>
      </c>
      <c r="H510" s="704" t="s">
        <v>130</v>
      </c>
      <c r="I510" s="736"/>
      <c r="J510" s="752">
        <v>50</v>
      </c>
      <c r="K510" s="709"/>
      <c r="L510" s="757"/>
    </row>
    <row r="511" spans="1:12" ht="16.5" hidden="1">
      <c r="A511" s="731" t="s">
        <v>128</v>
      </c>
      <c r="B511" s="724" t="s">
        <v>149</v>
      </c>
      <c r="C511" s="734" t="s">
        <v>55</v>
      </c>
      <c r="D511" s="705" t="s">
        <v>107</v>
      </c>
      <c r="E511" s="744">
        <v>1.5</v>
      </c>
      <c r="F511" s="736" t="s">
        <v>100</v>
      </c>
      <c r="G511" s="727">
        <f>ROUND(armatura!G254,2)</f>
        <v>58.32</v>
      </c>
      <c r="H511" s="704" t="s">
        <v>130</v>
      </c>
      <c r="I511" s="736"/>
      <c r="J511" s="752">
        <v>55</v>
      </c>
      <c r="K511" s="709"/>
      <c r="L511" s="757"/>
    </row>
    <row r="512" spans="1:12" ht="16.5" hidden="1">
      <c r="A512" s="731" t="s">
        <v>128</v>
      </c>
      <c r="B512" s="724" t="s">
        <v>149</v>
      </c>
      <c r="C512" s="734" t="s">
        <v>57</v>
      </c>
      <c r="D512" s="705" t="s">
        <v>31</v>
      </c>
      <c r="E512" s="744">
        <v>2</v>
      </c>
      <c r="F512" s="736" t="s">
        <v>100</v>
      </c>
      <c r="G512" s="727">
        <f>ROUND(armatura!G255,2)</f>
        <v>92.94</v>
      </c>
      <c r="H512" s="704" t="s">
        <v>130</v>
      </c>
      <c r="I512" s="736"/>
      <c r="J512" s="752">
        <v>75</v>
      </c>
      <c r="K512" s="709"/>
      <c r="L512" s="757"/>
    </row>
    <row r="513" spans="1:12" ht="16.5" hidden="1">
      <c r="A513" s="731" t="s">
        <v>128</v>
      </c>
      <c r="B513" s="691"/>
      <c r="C513" s="691"/>
      <c r="D513" s="691"/>
      <c r="E513" s="691"/>
      <c r="F513" s="759"/>
      <c r="G513" s="749"/>
      <c r="H513" s="690"/>
      <c r="I513" s="691"/>
      <c r="J513" s="691"/>
      <c r="K513" s="709"/>
      <c r="L513" s="757"/>
    </row>
    <row r="514" spans="1:12" ht="16.5" hidden="1">
      <c r="A514" s="731" t="s">
        <v>128</v>
      </c>
      <c r="B514" s="738" t="s">
        <v>199</v>
      </c>
      <c r="C514" s="705" t="s">
        <v>94</v>
      </c>
      <c r="D514" s="705" t="s">
        <v>185</v>
      </c>
      <c r="E514" s="744">
        <v>0.375</v>
      </c>
      <c r="F514" s="736" t="s">
        <v>100</v>
      </c>
      <c r="G514" s="727">
        <f>ROUND(armatura!G264,2)</f>
        <v>264.64999999999998</v>
      </c>
      <c r="H514" s="704" t="s">
        <v>138</v>
      </c>
      <c r="I514" s="736" t="s">
        <v>200</v>
      </c>
      <c r="J514" s="752">
        <v>37</v>
      </c>
      <c r="K514" s="709"/>
      <c r="L514" s="757"/>
    </row>
    <row r="515" spans="1:12" ht="16.5" hidden="1">
      <c r="A515" s="731" t="s">
        <v>128</v>
      </c>
      <c r="B515" s="738" t="s">
        <v>199</v>
      </c>
      <c r="C515" s="705" t="s">
        <v>47</v>
      </c>
      <c r="D515" s="705" t="s">
        <v>99</v>
      </c>
      <c r="E515" s="744">
        <v>0.5</v>
      </c>
      <c r="F515" s="736" t="s">
        <v>100</v>
      </c>
      <c r="G515" s="727">
        <f>ROUND(armatura!G265,2)</f>
        <v>264.64999999999998</v>
      </c>
      <c r="H515" s="704" t="s">
        <v>138</v>
      </c>
      <c r="I515" s="736" t="s">
        <v>200</v>
      </c>
      <c r="J515" s="752">
        <v>37</v>
      </c>
      <c r="K515" s="709"/>
      <c r="L515" s="757"/>
    </row>
    <row r="516" spans="1:12" ht="16.5" hidden="1">
      <c r="A516" s="731" t="s">
        <v>128</v>
      </c>
      <c r="B516" s="738" t="s">
        <v>199</v>
      </c>
      <c r="C516" s="705" t="s">
        <v>49</v>
      </c>
      <c r="D516" s="705" t="s">
        <v>104</v>
      </c>
      <c r="E516" s="744">
        <v>0.75</v>
      </c>
      <c r="F516" s="736" t="s">
        <v>100</v>
      </c>
      <c r="G516" s="727">
        <f>ROUND(armatura!G266,2)</f>
        <v>285.2</v>
      </c>
      <c r="H516" s="704" t="s">
        <v>138</v>
      </c>
      <c r="I516" s="736" t="s">
        <v>200</v>
      </c>
      <c r="J516" s="752">
        <v>50</v>
      </c>
      <c r="K516" s="709"/>
      <c r="L516" s="757"/>
    </row>
    <row r="517" spans="1:12" ht="16.5" hidden="1">
      <c r="A517" s="731" t="s">
        <v>128</v>
      </c>
      <c r="B517" s="738" t="s">
        <v>199</v>
      </c>
      <c r="C517" s="705" t="s">
        <v>51</v>
      </c>
      <c r="D517" s="705" t="s">
        <v>105</v>
      </c>
      <c r="E517" s="744">
        <v>1</v>
      </c>
      <c r="F517" s="736" t="s">
        <v>100</v>
      </c>
      <c r="G517" s="727">
        <f>ROUND(armatura!G267,2)</f>
        <v>315</v>
      </c>
      <c r="H517" s="704" t="s">
        <v>138</v>
      </c>
      <c r="I517" s="736" t="s">
        <v>200</v>
      </c>
      <c r="J517" s="752">
        <v>56</v>
      </c>
      <c r="K517" s="709"/>
      <c r="L517" s="757"/>
    </row>
    <row r="518" spans="1:12" ht="16.5" hidden="1">
      <c r="A518" s="731" t="s">
        <v>128</v>
      </c>
      <c r="B518" s="738" t="s">
        <v>199</v>
      </c>
      <c r="C518" s="705" t="s">
        <v>53</v>
      </c>
      <c r="D518" s="705" t="s">
        <v>106</v>
      </c>
      <c r="E518" s="744">
        <v>1.25</v>
      </c>
      <c r="F518" s="736" t="s">
        <v>100</v>
      </c>
      <c r="G518" s="727">
        <f>ROUND(armatura!G268,2)</f>
        <v>375.35</v>
      </c>
      <c r="H518" s="704" t="s">
        <v>138</v>
      </c>
      <c r="I518" s="736" t="s">
        <v>200</v>
      </c>
      <c r="J518" s="752">
        <v>62</v>
      </c>
      <c r="K518" s="709"/>
      <c r="L518" s="757"/>
    </row>
    <row r="519" spans="1:12" ht="16.5" hidden="1">
      <c r="A519" s="731" t="s">
        <v>128</v>
      </c>
      <c r="B519" s="738" t="s">
        <v>199</v>
      </c>
      <c r="C519" s="705" t="s">
        <v>55</v>
      </c>
      <c r="D519" s="705" t="s">
        <v>107</v>
      </c>
      <c r="E519" s="744">
        <v>1.5</v>
      </c>
      <c r="F519" s="736" t="s">
        <v>100</v>
      </c>
      <c r="G519" s="727">
        <f>ROUND(armatura!G269,2)</f>
        <v>463.25</v>
      </c>
      <c r="H519" s="704" t="s">
        <v>138</v>
      </c>
      <c r="I519" s="736" t="s">
        <v>200</v>
      </c>
      <c r="J519" s="752">
        <v>81</v>
      </c>
      <c r="K519" s="709"/>
      <c r="L519" s="757"/>
    </row>
    <row r="520" spans="1:12" ht="16.5" hidden="1">
      <c r="A520" s="731" t="s">
        <v>128</v>
      </c>
      <c r="B520" s="738" t="s">
        <v>199</v>
      </c>
      <c r="C520" s="705" t="s">
        <v>57</v>
      </c>
      <c r="D520" s="705" t="s">
        <v>31</v>
      </c>
      <c r="E520" s="744">
        <v>2</v>
      </c>
      <c r="F520" s="736" t="s">
        <v>100</v>
      </c>
      <c r="G520" s="727">
        <f>ROUND(armatura!G270,2)</f>
        <v>577.9</v>
      </c>
      <c r="H520" s="704" t="s">
        <v>138</v>
      </c>
      <c r="I520" s="736" t="s">
        <v>200</v>
      </c>
      <c r="J520" s="752">
        <v>100</v>
      </c>
      <c r="K520" s="709"/>
      <c r="L520" s="757"/>
    </row>
    <row r="521" spans="1:12" ht="16.5" hidden="1">
      <c r="A521" s="731" t="s">
        <v>128</v>
      </c>
      <c r="B521" s="738" t="s">
        <v>199</v>
      </c>
      <c r="C521" s="705" t="s">
        <v>59</v>
      </c>
      <c r="D521" s="844" t="s">
        <v>33</v>
      </c>
      <c r="E521" s="845" t="s">
        <v>34</v>
      </c>
      <c r="F521" s="736" t="s">
        <v>100</v>
      </c>
      <c r="G521" s="727">
        <f>ROUND(armatura!G271,2)</f>
        <v>1383.35</v>
      </c>
      <c r="H521" s="704" t="s">
        <v>138</v>
      </c>
      <c r="I521" s="736" t="s">
        <v>201</v>
      </c>
      <c r="J521" s="752">
        <v>125</v>
      </c>
      <c r="K521" s="709"/>
      <c r="L521" s="757"/>
    </row>
    <row r="522" spans="1:12" ht="16.5" hidden="1">
      <c r="A522" s="731" t="s">
        <v>128</v>
      </c>
      <c r="B522" s="738" t="s">
        <v>199</v>
      </c>
      <c r="C522" s="705" t="s">
        <v>60</v>
      </c>
      <c r="D522" s="700" t="s">
        <v>35</v>
      </c>
      <c r="E522" s="744">
        <v>3</v>
      </c>
      <c r="F522" s="736" t="s">
        <v>100</v>
      </c>
      <c r="G522" s="727">
        <f>ROUND(armatura!G272,2)</f>
        <v>2605.35</v>
      </c>
      <c r="H522" s="704" t="s">
        <v>138</v>
      </c>
      <c r="I522" s="736" t="s">
        <v>201</v>
      </c>
      <c r="J522" s="752">
        <v>150</v>
      </c>
      <c r="K522" s="709"/>
      <c r="L522" s="757"/>
    </row>
    <row r="523" spans="1:12" ht="16.5" hidden="1">
      <c r="A523" s="731" t="s">
        <v>128</v>
      </c>
      <c r="B523" s="738" t="s">
        <v>199</v>
      </c>
      <c r="C523" s="705" t="s">
        <v>62</v>
      </c>
      <c r="D523" s="844" t="s">
        <v>37</v>
      </c>
      <c r="E523" s="744">
        <v>4</v>
      </c>
      <c r="F523" s="736" t="s">
        <v>100</v>
      </c>
      <c r="G523" s="727">
        <f>ROUND(armatura!G273,2)</f>
        <v>3745.95</v>
      </c>
      <c r="H523" s="704" t="s">
        <v>138</v>
      </c>
      <c r="I523" s="736" t="s">
        <v>201</v>
      </c>
      <c r="J523" s="752">
        <v>175</v>
      </c>
      <c r="K523" s="709"/>
      <c r="L523" s="757"/>
    </row>
    <row r="524" spans="1:12" ht="16.5" hidden="1">
      <c r="A524" s="731" t="s">
        <v>128</v>
      </c>
      <c r="B524" s="738" t="s">
        <v>199</v>
      </c>
      <c r="C524" s="705" t="s">
        <v>63</v>
      </c>
      <c r="D524" s="737" t="s">
        <v>168</v>
      </c>
      <c r="E524" s="744">
        <v>5</v>
      </c>
      <c r="F524" s="736" t="s">
        <v>100</v>
      </c>
      <c r="G524" s="727">
        <f>ROUND(armatura!G274,2)</f>
        <v>4854.45</v>
      </c>
      <c r="H524" s="704" t="s">
        <v>138</v>
      </c>
      <c r="I524" s="736" t="s">
        <v>201</v>
      </c>
      <c r="J524" s="752">
        <v>225</v>
      </c>
      <c r="K524" s="709"/>
      <c r="L524" s="757"/>
    </row>
    <row r="525" spans="1:12" ht="16.5" hidden="1">
      <c r="A525" s="731" t="s">
        <v>128</v>
      </c>
      <c r="B525" s="738" t="s">
        <v>199</v>
      </c>
      <c r="C525" s="705" t="s">
        <v>66</v>
      </c>
      <c r="D525" s="737" t="s">
        <v>169</v>
      </c>
      <c r="E525" s="744">
        <v>6</v>
      </c>
      <c r="F525" s="736" t="s">
        <v>100</v>
      </c>
      <c r="G525" s="727">
        <f>ROUND(armatura!G275,2)</f>
        <v>6367.15</v>
      </c>
      <c r="H525" s="704" t="s">
        <v>138</v>
      </c>
      <c r="I525" s="736" t="s">
        <v>201</v>
      </c>
      <c r="J525" s="752">
        <v>262</v>
      </c>
      <c r="K525" s="709"/>
      <c r="L525" s="757"/>
    </row>
    <row r="526" spans="1:12" ht="16.5" hidden="1">
      <c r="A526" s="731" t="s">
        <v>128</v>
      </c>
      <c r="B526" s="738" t="s">
        <v>199</v>
      </c>
      <c r="C526" s="705" t="s">
        <v>121</v>
      </c>
      <c r="D526" s="737" t="s">
        <v>170</v>
      </c>
      <c r="E526" s="744">
        <v>8</v>
      </c>
      <c r="F526" s="736" t="s">
        <v>100</v>
      </c>
      <c r="G526" s="727">
        <f>ROUND(armatura!G276,2)</f>
        <v>13613.45</v>
      </c>
      <c r="H526" s="704" t="s">
        <v>138</v>
      </c>
      <c r="I526" s="736" t="s">
        <v>202</v>
      </c>
      <c r="J526" s="752">
        <v>337</v>
      </c>
      <c r="K526" s="709"/>
      <c r="L526" s="757"/>
    </row>
    <row r="527" spans="1:12" ht="16.5" hidden="1">
      <c r="A527" s="731" t="s">
        <v>128</v>
      </c>
      <c r="B527" s="738" t="s">
        <v>199</v>
      </c>
      <c r="C527" s="705" t="s">
        <v>122</v>
      </c>
      <c r="D527" s="737" t="s">
        <v>171</v>
      </c>
      <c r="E527" s="744">
        <v>10</v>
      </c>
      <c r="F527" s="736" t="s">
        <v>100</v>
      </c>
      <c r="G527" s="727">
        <f>ROUND(armatura!G277,2)</f>
        <v>17817.099999999999</v>
      </c>
      <c r="H527" s="704" t="s">
        <v>138</v>
      </c>
      <c r="I527" s="736" t="s">
        <v>202</v>
      </c>
      <c r="J527" s="752">
        <v>425</v>
      </c>
      <c r="K527" s="709"/>
      <c r="L527" s="757"/>
    </row>
    <row r="528" spans="1:12" ht="16.5" hidden="1">
      <c r="A528" s="731" t="s">
        <v>128</v>
      </c>
      <c r="B528" s="738" t="s">
        <v>199</v>
      </c>
      <c r="C528" s="705" t="s">
        <v>156</v>
      </c>
      <c r="D528" s="737" t="s">
        <v>172</v>
      </c>
      <c r="E528" s="744">
        <v>12</v>
      </c>
      <c r="F528" s="736" t="s">
        <v>100</v>
      </c>
      <c r="G528" s="727">
        <f>ROUND(armatura!G278,2)</f>
        <v>35173.35</v>
      </c>
      <c r="H528" s="704" t="s">
        <v>138</v>
      </c>
      <c r="I528" s="736" t="s">
        <v>202</v>
      </c>
      <c r="J528" s="752"/>
      <c r="K528" s="709"/>
      <c r="L528" s="757"/>
    </row>
    <row r="529" spans="1:12" ht="16.5" hidden="1">
      <c r="A529" s="731" t="s">
        <v>128</v>
      </c>
      <c r="B529" s="738" t="s">
        <v>199</v>
      </c>
      <c r="C529" s="705" t="s">
        <v>158</v>
      </c>
      <c r="D529" s="737" t="s">
        <v>175</v>
      </c>
      <c r="E529" s="744">
        <v>14</v>
      </c>
      <c r="F529" s="736" t="s">
        <v>100</v>
      </c>
      <c r="G529" s="727">
        <f>ROUND(armatura!G279,2)</f>
        <v>42546</v>
      </c>
      <c r="H529" s="704" t="s">
        <v>138</v>
      </c>
      <c r="I529" s="736" t="s">
        <v>202</v>
      </c>
      <c r="J529" s="752"/>
      <c r="K529" s="709"/>
      <c r="L529" s="757"/>
    </row>
    <row r="530" spans="1:12" ht="16.5" hidden="1">
      <c r="A530" s="731" t="s">
        <v>128</v>
      </c>
      <c r="B530" s="738" t="s">
        <v>199</v>
      </c>
      <c r="C530" s="705" t="s">
        <v>176</v>
      </c>
      <c r="D530" s="737" t="s">
        <v>177</v>
      </c>
      <c r="E530" s="744">
        <v>16</v>
      </c>
      <c r="F530" s="736" t="s">
        <v>100</v>
      </c>
      <c r="G530" s="727">
        <f>ROUND(armatura!G280,2)</f>
        <v>45958.400000000001</v>
      </c>
      <c r="H530" s="704" t="s">
        <v>138</v>
      </c>
      <c r="I530" s="736" t="s">
        <v>202</v>
      </c>
      <c r="J530" s="752"/>
      <c r="K530" s="709"/>
      <c r="L530" s="757"/>
    </row>
    <row r="531" spans="1:12" ht="16.5" hidden="1">
      <c r="A531" s="731" t="s">
        <v>128</v>
      </c>
      <c r="B531" s="690"/>
      <c r="C531" s="691"/>
      <c r="D531" s="691"/>
      <c r="E531" s="746"/>
      <c r="F531" s="759"/>
      <c r="G531" s="749"/>
      <c r="H531" s="760"/>
      <c r="I531" s="746"/>
      <c r="J531" s="746"/>
      <c r="K531" s="709"/>
      <c r="L531" s="757"/>
    </row>
    <row r="532" spans="1:12" ht="20.25" hidden="1">
      <c r="A532" s="731" t="s">
        <v>203</v>
      </c>
      <c r="B532" s="761" t="s">
        <v>204</v>
      </c>
      <c r="C532" s="705" t="s">
        <v>94</v>
      </c>
      <c r="D532" s="705" t="s">
        <v>185</v>
      </c>
      <c r="E532" s="744">
        <v>0.375</v>
      </c>
      <c r="F532" s="736" t="s">
        <v>100</v>
      </c>
      <c r="G532" s="727">
        <f>ROUND(armatura!G282,2)</f>
        <v>398.6</v>
      </c>
      <c r="H532" s="704" t="s">
        <v>138</v>
      </c>
      <c r="I532" s="736" t="s">
        <v>205</v>
      </c>
      <c r="J532" s="752">
        <v>87</v>
      </c>
      <c r="K532" s="709"/>
      <c r="L532" s="757"/>
    </row>
    <row r="533" spans="1:12" ht="20.25" hidden="1">
      <c r="A533" s="731" t="s">
        <v>203</v>
      </c>
      <c r="B533" s="761" t="s">
        <v>204</v>
      </c>
      <c r="C533" s="705" t="s">
        <v>47</v>
      </c>
      <c r="D533" s="705" t="s">
        <v>99</v>
      </c>
      <c r="E533" s="744">
        <v>0.5</v>
      </c>
      <c r="F533" s="736" t="s">
        <v>100</v>
      </c>
      <c r="G533" s="727">
        <f>ROUND(armatura!G283,2)</f>
        <v>400.55</v>
      </c>
      <c r="H533" s="704" t="s">
        <v>138</v>
      </c>
      <c r="I533" s="736" t="s">
        <v>205</v>
      </c>
      <c r="J533" s="752">
        <v>87</v>
      </c>
      <c r="K533" s="709"/>
      <c r="L533" s="757"/>
    </row>
    <row r="534" spans="1:12" ht="20.25" hidden="1">
      <c r="A534" s="731" t="s">
        <v>203</v>
      </c>
      <c r="B534" s="761" t="s">
        <v>204</v>
      </c>
      <c r="C534" s="705" t="s">
        <v>206</v>
      </c>
      <c r="D534" s="705" t="s">
        <v>99</v>
      </c>
      <c r="E534" s="744">
        <v>0.5</v>
      </c>
      <c r="F534" s="736" t="s">
        <v>100</v>
      </c>
      <c r="G534" s="727">
        <f>ROUND(armatura!G284,2)</f>
        <v>400.55</v>
      </c>
      <c r="H534" s="704" t="s">
        <v>138</v>
      </c>
      <c r="I534" s="736" t="s">
        <v>205</v>
      </c>
      <c r="J534" s="752">
        <v>87</v>
      </c>
      <c r="K534" s="709"/>
      <c r="L534" s="757"/>
    </row>
    <row r="535" spans="1:12" ht="20.25" hidden="1">
      <c r="A535" s="731" t="s">
        <v>203</v>
      </c>
      <c r="B535" s="761" t="s">
        <v>204</v>
      </c>
      <c r="C535" s="705" t="s">
        <v>49</v>
      </c>
      <c r="D535" s="705" t="s">
        <v>104</v>
      </c>
      <c r="E535" s="744">
        <v>0.75</v>
      </c>
      <c r="F535" s="736" t="s">
        <v>100</v>
      </c>
      <c r="G535" s="727">
        <f>ROUND(armatura!G285,2)</f>
        <v>444.9</v>
      </c>
      <c r="H535" s="704" t="s">
        <v>138</v>
      </c>
      <c r="I535" s="736" t="s">
        <v>205</v>
      </c>
      <c r="J535" s="752">
        <v>100</v>
      </c>
      <c r="K535" s="709"/>
      <c r="L535" s="757"/>
    </row>
    <row r="536" spans="1:12" ht="20.25" hidden="1">
      <c r="A536" s="731" t="s">
        <v>203</v>
      </c>
      <c r="B536" s="761" t="s">
        <v>204</v>
      </c>
      <c r="C536" s="705" t="s">
        <v>51</v>
      </c>
      <c r="D536" s="705" t="s">
        <v>105</v>
      </c>
      <c r="E536" s="744">
        <v>1</v>
      </c>
      <c r="F536" s="736" t="s">
        <v>100</v>
      </c>
      <c r="G536" s="727">
        <f>ROUND(armatura!G286,2)</f>
        <v>518.35</v>
      </c>
      <c r="H536" s="704" t="s">
        <v>138</v>
      </c>
      <c r="I536" s="736" t="s">
        <v>205</v>
      </c>
      <c r="J536" s="752">
        <v>106</v>
      </c>
      <c r="K536" s="709"/>
      <c r="L536" s="757"/>
    </row>
    <row r="537" spans="1:12" ht="20.25" hidden="1">
      <c r="A537" s="731" t="s">
        <v>203</v>
      </c>
      <c r="B537" s="761" t="s">
        <v>204</v>
      </c>
      <c r="C537" s="705" t="s">
        <v>53</v>
      </c>
      <c r="D537" s="705" t="s">
        <v>106</v>
      </c>
      <c r="E537" s="744">
        <v>1.25</v>
      </c>
      <c r="F537" s="736" t="s">
        <v>100</v>
      </c>
      <c r="G537" s="727">
        <f>ROUND(armatura!G287,2)</f>
        <v>714.8</v>
      </c>
      <c r="H537" s="704" t="s">
        <v>138</v>
      </c>
      <c r="I537" s="736" t="s">
        <v>205</v>
      </c>
      <c r="J537" s="752">
        <v>112</v>
      </c>
      <c r="K537" s="709"/>
      <c r="L537" s="757"/>
    </row>
    <row r="538" spans="1:12" hidden="1">
      <c r="A538" s="731" t="s">
        <v>203</v>
      </c>
      <c r="B538" s="690"/>
      <c r="C538" s="691"/>
      <c r="D538" s="691"/>
      <c r="E538" s="746"/>
      <c r="F538" s="759"/>
      <c r="G538" s="749"/>
      <c r="H538" s="760"/>
      <c r="I538" s="746"/>
      <c r="J538" s="746"/>
      <c r="K538" s="709"/>
      <c r="L538" s="757"/>
    </row>
    <row r="539" spans="1:12" ht="20.25" hidden="1">
      <c r="A539" s="731" t="s">
        <v>203</v>
      </c>
      <c r="B539" s="761" t="s">
        <v>204</v>
      </c>
      <c r="C539" s="705" t="s">
        <v>47</v>
      </c>
      <c r="D539" s="705" t="s">
        <v>99</v>
      </c>
      <c r="E539" s="744">
        <v>0.5</v>
      </c>
      <c r="F539" s="736" t="s">
        <v>100</v>
      </c>
      <c r="G539" s="727">
        <f>ROUND(armatura!G289,2)</f>
        <v>799.85</v>
      </c>
      <c r="H539" s="704" t="s">
        <v>138</v>
      </c>
      <c r="I539" s="736" t="s">
        <v>207</v>
      </c>
      <c r="J539" s="752">
        <v>87</v>
      </c>
      <c r="K539" s="709"/>
      <c r="L539" s="757"/>
    </row>
    <row r="540" spans="1:12" ht="20.25" hidden="1">
      <c r="A540" s="731" t="s">
        <v>203</v>
      </c>
      <c r="B540" s="761" t="s">
        <v>204</v>
      </c>
      <c r="C540" s="705" t="s">
        <v>49</v>
      </c>
      <c r="D540" s="705" t="s">
        <v>104</v>
      </c>
      <c r="E540" s="744">
        <v>0.75</v>
      </c>
      <c r="F540" s="736" t="s">
        <v>100</v>
      </c>
      <c r="G540" s="727">
        <f>ROUND(armatura!G290,2)</f>
        <v>854.15</v>
      </c>
      <c r="H540" s="704" t="s">
        <v>138</v>
      </c>
      <c r="I540" s="736" t="s">
        <v>207</v>
      </c>
      <c r="J540" s="752">
        <v>100</v>
      </c>
      <c r="K540" s="709"/>
      <c r="L540" s="757"/>
    </row>
    <row r="541" spans="1:12" ht="20.25" hidden="1">
      <c r="A541" s="731" t="s">
        <v>203</v>
      </c>
      <c r="B541" s="761" t="s">
        <v>204</v>
      </c>
      <c r="C541" s="705" t="s">
        <v>51</v>
      </c>
      <c r="D541" s="705" t="s">
        <v>105</v>
      </c>
      <c r="E541" s="744">
        <v>1</v>
      </c>
      <c r="F541" s="736" t="s">
        <v>100</v>
      </c>
      <c r="G541" s="727">
        <f>ROUND(armatura!G291,2)</f>
        <v>943.7</v>
      </c>
      <c r="H541" s="704" t="s">
        <v>138</v>
      </c>
      <c r="I541" s="736" t="s">
        <v>207</v>
      </c>
      <c r="J541" s="752">
        <v>106</v>
      </c>
      <c r="K541" s="709"/>
      <c r="L541" s="757"/>
    </row>
    <row r="542" spans="1:12" ht="20.25" hidden="1">
      <c r="A542" s="731" t="s">
        <v>203</v>
      </c>
      <c r="B542" s="761" t="s">
        <v>204</v>
      </c>
      <c r="C542" s="705" t="s">
        <v>53</v>
      </c>
      <c r="D542" s="705" t="s">
        <v>106</v>
      </c>
      <c r="E542" s="744">
        <v>1.25</v>
      </c>
      <c r="F542" s="736" t="s">
        <v>100</v>
      </c>
      <c r="G542" s="727">
        <f>ROUND(armatura!G292,2)</f>
        <v>1184.2</v>
      </c>
      <c r="H542" s="704" t="s">
        <v>138</v>
      </c>
      <c r="I542" s="736" t="s">
        <v>207</v>
      </c>
      <c r="J542" s="752">
        <v>112</v>
      </c>
      <c r="K542" s="709"/>
      <c r="L542" s="757"/>
    </row>
    <row r="543" spans="1:12" ht="20.25" hidden="1">
      <c r="A543" s="731" t="s">
        <v>203</v>
      </c>
      <c r="B543" s="761" t="s">
        <v>204</v>
      </c>
      <c r="C543" s="705" t="s">
        <v>55</v>
      </c>
      <c r="D543" s="705" t="s">
        <v>107</v>
      </c>
      <c r="E543" s="744">
        <v>1.5</v>
      </c>
      <c r="F543" s="736" t="s">
        <v>100</v>
      </c>
      <c r="G543" s="727">
        <f>ROUND(armatura!G293,2)</f>
        <v>3143.65</v>
      </c>
      <c r="H543" s="704" t="s">
        <v>138</v>
      </c>
      <c r="I543" s="736" t="s">
        <v>207</v>
      </c>
      <c r="J543" s="752">
        <v>131</v>
      </c>
      <c r="K543" s="709"/>
      <c r="L543" s="757"/>
    </row>
    <row r="544" spans="1:12" ht="20.25" hidden="1">
      <c r="A544" s="731" t="s">
        <v>203</v>
      </c>
      <c r="B544" s="761" t="s">
        <v>204</v>
      </c>
      <c r="C544" s="705" t="s">
        <v>57</v>
      </c>
      <c r="D544" s="705" t="s">
        <v>31</v>
      </c>
      <c r="E544" s="744">
        <v>2</v>
      </c>
      <c r="F544" s="736" t="s">
        <v>100</v>
      </c>
      <c r="G544" s="727">
        <f>ROUND(armatura!G294,2)</f>
        <v>3499.05</v>
      </c>
      <c r="H544" s="704" t="s">
        <v>138</v>
      </c>
      <c r="I544" s="736" t="s">
        <v>207</v>
      </c>
      <c r="J544" s="752">
        <v>150</v>
      </c>
      <c r="K544" s="709"/>
      <c r="L544" s="757"/>
    </row>
    <row r="545" spans="1:12" ht="20.25" hidden="1">
      <c r="A545" s="731" t="s">
        <v>203</v>
      </c>
      <c r="B545" s="761" t="s">
        <v>204</v>
      </c>
      <c r="C545" s="705" t="s">
        <v>59</v>
      </c>
      <c r="D545" s="844" t="s">
        <v>33</v>
      </c>
      <c r="E545" s="845" t="s">
        <v>34</v>
      </c>
      <c r="F545" s="736" t="s">
        <v>100</v>
      </c>
      <c r="G545" s="727">
        <f>ROUND(armatura!G295,2)</f>
        <v>6872.95</v>
      </c>
      <c r="H545" s="704" t="s">
        <v>138</v>
      </c>
      <c r="I545" s="736" t="s">
        <v>207</v>
      </c>
      <c r="J545" s="752">
        <v>175</v>
      </c>
      <c r="K545" s="709"/>
      <c r="L545" s="757"/>
    </row>
    <row r="546" spans="1:12" ht="20.25" hidden="1">
      <c r="A546" s="731" t="s">
        <v>203</v>
      </c>
      <c r="B546" s="761" t="s">
        <v>204</v>
      </c>
      <c r="C546" s="705" t="s">
        <v>60</v>
      </c>
      <c r="D546" s="700" t="s">
        <v>35</v>
      </c>
      <c r="E546" s="744">
        <v>3</v>
      </c>
      <c r="F546" s="736" t="s">
        <v>100</v>
      </c>
      <c r="G546" s="727">
        <f>ROUND(armatura!G296,2)</f>
        <v>7563.7</v>
      </c>
      <c r="H546" s="704" t="s">
        <v>138</v>
      </c>
      <c r="I546" s="736" t="s">
        <v>207</v>
      </c>
      <c r="J546" s="752">
        <v>200</v>
      </c>
      <c r="K546" s="709"/>
      <c r="L546" s="757"/>
    </row>
    <row r="547" spans="1:12" ht="20.25" hidden="1">
      <c r="A547" s="731" t="s">
        <v>203</v>
      </c>
      <c r="B547" s="761" t="s">
        <v>204</v>
      </c>
      <c r="C547" s="705" t="s">
        <v>208</v>
      </c>
      <c r="D547" s="844" t="s">
        <v>37</v>
      </c>
      <c r="E547" s="744">
        <v>4</v>
      </c>
      <c r="F547" s="736" t="s">
        <v>100</v>
      </c>
      <c r="G547" s="727">
        <f>ROUND(armatura!G297,2)</f>
        <v>11065.65</v>
      </c>
      <c r="H547" s="704" t="s">
        <v>138</v>
      </c>
      <c r="I547" s="736" t="s">
        <v>207</v>
      </c>
      <c r="J547" s="752">
        <v>225</v>
      </c>
      <c r="K547" s="709"/>
      <c r="L547" s="757"/>
    </row>
    <row r="548" spans="1:12" ht="20.25" hidden="1">
      <c r="A548" s="731" t="s">
        <v>203</v>
      </c>
      <c r="B548" s="761" t="s">
        <v>204</v>
      </c>
      <c r="C548" s="705" t="s">
        <v>209</v>
      </c>
      <c r="D548" s="737" t="s">
        <v>210</v>
      </c>
      <c r="E548" s="744">
        <v>4</v>
      </c>
      <c r="F548" s="736" t="s">
        <v>100</v>
      </c>
      <c r="G548" s="727">
        <f>ROUND(armatura!G298,2)</f>
        <v>12075.4</v>
      </c>
      <c r="H548" s="704" t="s">
        <v>138</v>
      </c>
      <c r="I548" s="736" t="s">
        <v>207</v>
      </c>
      <c r="J548" s="752">
        <v>225</v>
      </c>
      <c r="K548" s="709"/>
      <c r="L548" s="757"/>
    </row>
    <row r="549" spans="1:12" ht="20.25" hidden="1">
      <c r="A549" s="731" t="s">
        <v>203</v>
      </c>
      <c r="B549" s="761" t="s">
        <v>204</v>
      </c>
      <c r="C549" s="705" t="s">
        <v>63</v>
      </c>
      <c r="D549" s="737" t="s">
        <v>168</v>
      </c>
      <c r="E549" s="744">
        <v>5</v>
      </c>
      <c r="F549" s="736" t="s">
        <v>100</v>
      </c>
      <c r="G549" s="727">
        <f>ROUND(armatura!G299,2)</f>
        <v>15648.65</v>
      </c>
      <c r="H549" s="704" t="s">
        <v>138</v>
      </c>
      <c r="I549" s="736" t="s">
        <v>207</v>
      </c>
      <c r="J549" s="752">
        <v>275</v>
      </c>
      <c r="K549" s="709"/>
      <c r="L549" s="757"/>
    </row>
    <row r="550" spans="1:12" ht="20.25" hidden="1">
      <c r="A550" s="731" t="s">
        <v>203</v>
      </c>
      <c r="B550" s="761" t="s">
        <v>204</v>
      </c>
      <c r="C550" s="705" t="s">
        <v>211</v>
      </c>
      <c r="D550" s="737" t="s">
        <v>168</v>
      </c>
      <c r="E550" s="744">
        <v>5</v>
      </c>
      <c r="F550" s="736" t="s">
        <v>100</v>
      </c>
      <c r="G550" s="727">
        <f>ROUND(armatura!G300,2)</f>
        <v>16658.45</v>
      </c>
      <c r="H550" s="704" t="s">
        <v>138</v>
      </c>
      <c r="I550" s="736" t="s">
        <v>207</v>
      </c>
      <c r="J550" s="752">
        <v>275</v>
      </c>
      <c r="K550" s="709"/>
      <c r="L550" s="757"/>
    </row>
    <row r="551" spans="1:12" ht="20.25" hidden="1">
      <c r="A551" s="731" t="s">
        <v>203</v>
      </c>
      <c r="B551" s="761" t="s">
        <v>204</v>
      </c>
      <c r="C551" s="705" t="s">
        <v>66</v>
      </c>
      <c r="D551" s="737" t="s">
        <v>169</v>
      </c>
      <c r="E551" s="744">
        <v>6</v>
      </c>
      <c r="F551" s="736" t="s">
        <v>100</v>
      </c>
      <c r="G551" s="727">
        <f>ROUND(armatura!G301,2)</f>
        <v>24456.799999999999</v>
      </c>
      <c r="H551" s="704" t="s">
        <v>138</v>
      </c>
      <c r="I551" s="736" t="s">
        <v>207</v>
      </c>
      <c r="J551" s="752">
        <v>312</v>
      </c>
      <c r="K551" s="709"/>
      <c r="L551" s="757"/>
    </row>
    <row r="552" spans="1:12" ht="20.25" hidden="1">
      <c r="A552" s="731" t="s">
        <v>203</v>
      </c>
      <c r="B552" s="761" t="s">
        <v>204</v>
      </c>
      <c r="C552" s="705" t="s">
        <v>212</v>
      </c>
      <c r="D552" s="737" t="s">
        <v>169</v>
      </c>
      <c r="E552" s="744">
        <v>6</v>
      </c>
      <c r="F552" s="736" t="s">
        <v>100</v>
      </c>
      <c r="G552" s="727">
        <f>ROUND(armatura!G302,2)</f>
        <v>25000.6</v>
      </c>
      <c r="H552" s="704" t="s">
        <v>138</v>
      </c>
      <c r="I552" s="736" t="s">
        <v>207</v>
      </c>
      <c r="J552" s="752">
        <v>312</v>
      </c>
      <c r="K552" s="709"/>
      <c r="L552" s="757"/>
    </row>
    <row r="553" spans="1:12" ht="20.25" hidden="1">
      <c r="A553" s="731" t="s">
        <v>203</v>
      </c>
      <c r="B553" s="761" t="s">
        <v>204</v>
      </c>
      <c r="C553" s="705" t="s">
        <v>213</v>
      </c>
      <c r="D553" s="737" t="s">
        <v>170</v>
      </c>
      <c r="E553" s="744">
        <v>8</v>
      </c>
      <c r="F553" s="736" t="s">
        <v>100</v>
      </c>
      <c r="G553" s="727">
        <f>ROUND(armatura!G303,2)</f>
        <v>32016</v>
      </c>
      <c r="H553" s="704" t="s">
        <v>138</v>
      </c>
      <c r="I553" s="736" t="s">
        <v>207</v>
      </c>
      <c r="J553" s="752">
        <v>387</v>
      </c>
      <c r="K553" s="709"/>
      <c r="L553" s="757"/>
    </row>
    <row r="554" spans="1:12" ht="20.25" hidden="1">
      <c r="A554" s="731" t="s">
        <v>203</v>
      </c>
      <c r="B554" s="761" t="s">
        <v>204</v>
      </c>
      <c r="C554" s="705" t="s">
        <v>214</v>
      </c>
      <c r="D554" s="737" t="s">
        <v>170</v>
      </c>
      <c r="E554" s="744">
        <v>8</v>
      </c>
      <c r="F554" s="736" t="s">
        <v>100</v>
      </c>
      <c r="G554" s="727">
        <f>ROUND(armatura!G304,2)</f>
        <v>31595.1</v>
      </c>
      <c r="H554" s="704" t="s">
        <v>138</v>
      </c>
      <c r="I554" s="736" t="s">
        <v>207</v>
      </c>
      <c r="J554" s="752">
        <v>387</v>
      </c>
      <c r="K554" s="709"/>
      <c r="L554" s="757"/>
    </row>
    <row r="555" spans="1:12" hidden="1">
      <c r="A555" s="731" t="s">
        <v>203</v>
      </c>
      <c r="B555" s="690"/>
      <c r="C555" s="691"/>
      <c r="D555" s="691"/>
      <c r="E555" s="746"/>
      <c r="F555" s="759"/>
      <c r="G555" s="749"/>
      <c r="H555" s="760"/>
      <c r="I555" s="746"/>
      <c r="J555" s="746"/>
      <c r="K555" s="709"/>
      <c r="L555" s="757"/>
    </row>
    <row r="556" spans="1:12" hidden="1">
      <c r="A556" s="731" t="s">
        <v>203</v>
      </c>
      <c r="B556" s="761" t="s">
        <v>215</v>
      </c>
      <c r="C556" s="705" t="s">
        <v>94</v>
      </c>
      <c r="D556" s="705" t="s">
        <v>185</v>
      </c>
      <c r="E556" s="744">
        <v>0.375</v>
      </c>
      <c r="F556" s="736" t="s">
        <v>100</v>
      </c>
      <c r="G556" s="727">
        <f>ROUND(armatura!G306,2)</f>
        <v>298</v>
      </c>
      <c r="H556" s="704" t="s">
        <v>138</v>
      </c>
      <c r="I556" s="736" t="s">
        <v>205</v>
      </c>
      <c r="J556" s="752">
        <v>37</v>
      </c>
      <c r="K556" s="709"/>
      <c r="L556" s="757"/>
    </row>
    <row r="557" spans="1:12" hidden="1">
      <c r="A557" s="731" t="s">
        <v>203</v>
      </c>
      <c r="B557" s="761" t="s">
        <v>215</v>
      </c>
      <c r="C557" s="705" t="s">
        <v>47</v>
      </c>
      <c r="D557" s="705" t="s">
        <v>99</v>
      </c>
      <c r="E557" s="744">
        <v>0.5</v>
      </c>
      <c r="F557" s="736" t="s">
        <v>100</v>
      </c>
      <c r="G557" s="727">
        <f>ROUND(armatura!G307,2)</f>
        <v>299.95</v>
      </c>
      <c r="H557" s="704" t="s">
        <v>138</v>
      </c>
      <c r="I557" s="736" t="s">
        <v>205</v>
      </c>
      <c r="J557" s="752">
        <v>37</v>
      </c>
      <c r="K557" s="709"/>
      <c r="L557" s="757"/>
    </row>
    <row r="558" spans="1:12" hidden="1">
      <c r="A558" s="731" t="s">
        <v>203</v>
      </c>
      <c r="B558" s="761" t="s">
        <v>215</v>
      </c>
      <c r="C558" s="705" t="s">
        <v>206</v>
      </c>
      <c r="D558" s="705" t="s">
        <v>99</v>
      </c>
      <c r="E558" s="744">
        <v>0.5</v>
      </c>
      <c r="F558" s="736" t="s">
        <v>100</v>
      </c>
      <c r="G558" s="727">
        <f>ROUND(armatura!G308,2)</f>
        <v>299.95</v>
      </c>
      <c r="H558" s="704" t="s">
        <v>138</v>
      </c>
      <c r="I558" s="736" t="s">
        <v>205</v>
      </c>
      <c r="J558" s="752">
        <v>37</v>
      </c>
      <c r="K558" s="709"/>
      <c r="L558" s="757"/>
    </row>
    <row r="559" spans="1:12" hidden="1">
      <c r="A559" s="731" t="s">
        <v>203</v>
      </c>
      <c r="B559" s="761" t="s">
        <v>215</v>
      </c>
      <c r="C559" s="705" t="s">
        <v>49</v>
      </c>
      <c r="D559" s="705" t="s">
        <v>104</v>
      </c>
      <c r="E559" s="744">
        <v>0.75</v>
      </c>
      <c r="F559" s="736" t="s">
        <v>100</v>
      </c>
      <c r="G559" s="727">
        <f>ROUND(armatura!G309,2)</f>
        <v>344.3</v>
      </c>
      <c r="H559" s="704" t="s">
        <v>138</v>
      </c>
      <c r="I559" s="736" t="s">
        <v>205</v>
      </c>
      <c r="J559" s="752">
        <v>50</v>
      </c>
      <c r="K559" s="709"/>
      <c r="L559" s="757"/>
    </row>
    <row r="560" spans="1:12" hidden="1">
      <c r="A560" s="731" t="s">
        <v>203</v>
      </c>
      <c r="B560" s="761" t="s">
        <v>215</v>
      </c>
      <c r="C560" s="705" t="s">
        <v>51</v>
      </c>
      <c r="D560" s="705" t="s">
        <v>105</v>
      </c>
      <c r="E560" s="744">
        <v>1</v>
      </c>
      <c r="F560" s="736" t="s">
        <v>100</v>
      </c>
      <c r="G560" s="727">
        <f>ROUND(armatura!G310,2)</f>
        <v>417.75</v>
      </c>
      <c r="H560" s="704" t="s">
        <v>138</v>
      </c>
      <c r="I560" s="736" t="s">
        <v>205</v>
      </c>
      <c r="J560" s="752">
        <v>56</v>
      </c>
      <c r="K560" s="709"/>
      <c r="L560" s="757"/>
    </row>
    <row r="561" spans="1:12" hidden="1">
      <c r="A561" s="731" t="s">
        <v>203</v>
      </c>
      <c r="B561" s="761" t="s">
        <v>215</v>
      </c>
      <c r="C561" s="705" t="s">
        <v>53</v>
      </c>
      <c r="D561" s="705" t="s">
        <v>106</v>
      </c>
      <c r="E561" s="744">
        <v>1.25</v>
      </c>
      <c r="F561" s="736" t="s">
        <v>100</v>
      </c>
      <c r="G561" s="727">
        <f>ROUND(armatura!G311,2)</f>
        <v>614.20000000000005</v>
      </c>
      <c r="H561" s="704" t="s">
        <v>138</v>
      </c>
      <c r="I561" s="736" t="s">
        <v>205</v>
      </c>
      <c r="J561" s="752">
        <v>62</v>
      </c>
      <c r="K561" s="709"/>
      <c r="L561" s="757"/>
    </row>
    <row r="562" spans="1:12" hidden="1">
      <c r="A562" s="731" t="s">
        <v>203</v>
      </c>
      <c r="B562" s="690"/>
      <c r="C562" s="691"/>
      <c r="D562" s="691"/>
      <c r="E562" s="746"/>
      <c r="F562" s="759"/>
      <c r="G562" s="749"/>
      <c r="H562" s="760"/>
      <c r="I562" s="746"/>
      <c r="J562" s="746"/>
      <c r="K562" s="709"/>
      <c r="L562" s="757"/>
    </row>
    <row r="563" spans="1:12" hidden="1">
      <c r="A563" s="731" t="s">
        <v>203</v>
      </c>
      <c r="B563" s="761" t="s">
        <v>216</v>
      </c>
      <c r="C563" s="705" t="s">
        <v>47</v>
      </c>
      <c r="D563" s="705" t="s">
        <v>99</v>
      </c>
      <c r="E563" s="744">
        <v>0.5</v>
      </c>
      <c r="F563" s="736" t="s">
        <v>100</v>
      </c>
      <c r="G563" s="727">
        <f>ROUND(armatura!G313,2)</f>
        <v>366.5</v>
      </c>
      <c r="H563" s="704" t="s">
        <v>138</v>
      </c>
      <c r="I563" s="736" t="s">
        <v>207</v>
      </c>
      <c r="J563" s="752">
        <v>37</v>
      </c>
      <c r="K563" s="709"/>
      <c r="L563" s="757"/>
    </row>
    <row r="564" spans="1:12" hidden="1">
      <c r="A564" s="731" t="s">
        <v>203</v>
      </c>
      <c r="B564" s="761" t="s">
        <v>216</v>
      </c>
      <c r="C564" s="705" t="s">
        <v>49</v>
      </c>
      <c r="D564" s="705" t="s">
        <v>104</v>
      </c>
      <c r="E564" s="744">
        <v>0.75</v>
      </c>
      <c r="F564" s="736" t="s">
        <v>100</v>
      </c>
      <c r="G564" s="727">
        <f>ROUND(armatura!G314,2)</f>
        <v>420.8</v>
      </c>
      <c r="H564" s="704" t="s">
        <v>138</v>
      </c>
      <c r="I564" s="736" t="s">
        <v>207</v>
      </c>
      <c r="J564" s="752">
        <v>50</v>
      </c>
      <c r="K564" s="709"/>
      <c r="L564" s="757"/>
    </row>
    <row r="565" spans="1:12" hidden="1">
      <c r="A565" s="731" t="s">
        <v>203</v>
      </c>
      <c r="B565" s="761" t="s">
        <v>216</v>
      </c>
      <c r="C565" s="705" t="s">
        <v>51</v>
      </c>
      <c r="D565" s="705" t="s">
        <v>105</v>
      </c>
      <c r="E565" s="744">
        <v>1</v>
      </c>
      <c r="F565" s="736" t="s">
        <v>100</v>
      </c>
      <c r="G565" s="727">
        <f>ROUND(armatura!G315,2)</f>
        <v>510.35</v>
      </c>
      <c r="H565" s="704" t="s">
        <v>138</v>
      </c>
      <c r="I565" s="736" t="s">
        <v>207</v>
      </c>
      <c r="J565" s="752">
        <v>56</v>
      </c>
      <c r="K565" s="709"/>
      <c r="L565" s="757"/>
    </row>
    <row r="566" spans="1:12" hidden="1">
      <c r="A566" s="731" t="s">
        <v>203</v>
      </c>
      <c r="B566" s="761" t="s">
        <v>216</v>
      </c>
      <c r="C566" s="705" t="s">
        <v>53</v>
      </c>
      <c r="D566" s="705" t="s">
        <v>106</v>
      </c>
      <c r="E566" s="744">
        <v>1.25</v>
      </c>
      <c r="F566" s="736" t="s">
        <v>100</v>
      </c>
      <c r="G566" s="727">
        <f>ROUND(armatura!G316,2)</f>
        <v>750.85</v>
      </c>
      <c r="H566" s="704" t="s">
        <v>138</v>
      </c>
      <c r="I566" s="736" t="s">
        <v>207</v>
      </c>
      <c r="J566" s="752">
        <v>62</v>
      </c>
      <c r="K566" s="709"/>
      <c r="L566" s="757"/>
    </row>
    <row r="567" spans="1:12" hidden="1">
      <c r="A567" s="731" t="s">
        <v>203</v>
      </c>
      <c r="B567" s="761" t="s">
        <v>216</v>
      </c>
      <c r="C567" s="705" t="s">
        <v>55</v>
      </c>
      <c r="D567" s="705" t="s">
        <v>107</v>
      </c>
      <c r="E567" s="744">
        <v>1.5</v>
      </c>
      <c r="F567" s="736" t="s">
        <v>100</v>
      </c>
      <c r="G567" s="727">
        <f>ROUND(armatura!G317,2)</f>
        <v>2293.25</v>
      </c>
      <c r="H567" s="704" t="s">
        <v>138</v>
      </c>
      <c r="I567" s="736" t="s">
        <v>207</v>
      </c>
      <c r="J567" s="752">
        <v>81</v>
      </c>
      <c r="K567" s="709"/>
      <c r="L567" s="757"/>
    </row>
    <row r="568" spans="1:12" hidden="1">
      <c r="A568" s="731" t="s">
        <v>203</v>
      </c>
      <c r="B568" s="761" t="s">
        <v>216</v>
      </c>
      <c r="C568" s="705" t="s">
        <v>57</v>
      </c>
      <c r="D568" s="705" t="s">
        <v>31</v>
      </c>
      <c r="E568" s="744">
        <v>2</v>
      </c>
      <c r="F568" s="736" t="s">
        <v>100</v>
      </c>
      <c r="G568" s="727">
        <f>ROUND(armatura!G318,2)</f>
        <v>2648.65</v>
      </c>
      <c r="H568" s="704" t="s">
        <v>138</v>
      </c>
      <c r="I568" s="736" t="s">
        <v>207</v>
      </c>
      <c r="J568" s="752">
        <v>100</v>
      </c>
      <c r="K568" s="709"/>
      <c r="L568" s="757"/>
    </row>
    <row r="569" spans="1:12" hidden="1">
      <c r="A569" s="731" t="s">
        <v>203</v>
      </c>
      <c r="B569" s="761" t="s">
        <v>216</v>
      </c>
      <c r="C569" s="705" t="s">
        <v>59</v>
      </c>
      <c r="D569" s="844" t="s">
        <v>33</v>
      </c>
      <c r="E569" s="845" t="s">
        <v>34</v>
      </c>
      <c r="F569" s="736" t="s">
        <v>100</v>
      </c>
      <c r="G569" s="727">
        <f>ROUND(armatura!G319,2)</f>
        <v>5678.85</v>
      </c>
      <c r="H569" s="704" t="s">
        <v>138</v>
      </c>
      <c r="I569" s="736" t="s">
        <v>207</v>
      </c>
      <c r="J569" s="752">
        <v>125</v>
      </c>
      <c r="K569" s="709"/>
      <c r="L569" s="757"/>
    </row>
    <row r="570" spans="1:12" hidden="1">
      <c r="A570" s="731" t="s">
        <v>203</v>
      </c>
      <c r="B570" s="761" t="s">
        <v>216</v>
      </c>
      <c r="C570" s="705" t="s">
        <v>60</v>
      </c>
      <c r="D570" s="700" t="s">
        <v>35</v>
      </c>
      <c r="E570" s="744">
        <v>3</v>
      </c>
      <c r="F570" s="736" t="s">
        <v>100</v>
      </c>
      <c r="G570" s="727">
        <f>ROUND(armatura!G320,2)</f>
        <v>6391.6</v>
      </c>
      <c r="H570" s="704" t="s">
        <v>138</v>
      </c>
      <c r="I570" s="736" t="s">
        <v>207</v>
      </c>
      <c r="J570" s="752">
        <v>150</v>
      </c>
      <c r="K570" s="709"/>
      <c r="L570" s="757"/>
    </row>
    <row r="571" spans="1:12" hidden="1">
      <c r="A571" s="731" t="s">
        <v>203</v>
      </c>
      <c r="B571" s="761" t="s">
        <v>216</v>
      </c>
      <c r="C571" s="705" t="s">
        <v>208</v>
      </c>
      <c r="D571" s="844" t="s">
        <v>37</v>
      </c>
      <c r="E571" s="744">
        <v>4</v>
      </c>
      <c r="F571" s="736" t="s">
        <v>100</v>
      </c>
      <c r="G571" s="727">
        <f>ROUND(armatura!G321,2)</f>
        <v>9913.5499999999993</v>
      </c>
      <c r="H571" s="704" t="s">
        <v>138</v>
      </c>
      <c r="I571" s="736" t="s">
        <v>207</v>
      </c>
      <c r="J571" s="752">
        <v>175</v>
      </c>
      <c r="K571" s="709"/>
      <c r="L571" s="757"/>
    </row>
    <row r="572" spans="1:12" hidden="1">
      <c r="A572" s="731" t="s">
        <v>203</v>
      </c>
      <c r="B572" s="761" t="s">
        <v>216</v>
      </c>
      <c r="C572" s="705" t="s">
        <v>209</v>
      </c>
      <c r="D572" s="737" t="s">
        <v>210</v>
      </c>
      <c r="E572" s="744">
        <v>4</v>
      </c>
      <c r="F572" s="736" t="s">
        <v>100</v>
      </c>
      <c r="G572" s="727">
        <f>ROUND(armatura!G322,2)</f>
        <v>10923.3</v>
      </c>
      <c r="H572" s="704" t="s">
        <v>138</v>
      </c>
      <c r="I572" s="736" t="s">
        <v>207</v>
      </c>
      <c r="J572" s="752">
        <v>175</v>
      </c>
      <c r="K572" s="709"/>
      <c r="L572" s="757"/>
    </row>
    <row r="573" spans="1:12" hidden="1">
      <c r="A573" s="731" t="s">
        <v>203</v>
      </c>
      <c r="B573" s="761" t="s">
        <v>216</v>
      </c>
      <c r="C573" s="705" t="s">
        <v>63</v>
      </c>
      <c r="D573" s="737" t="s">
        <v>168</v>
      </c>
      <c r="E573" s="744">
        <v>5</v>
      </c>
      <c r="F573" s="736" t="s">
        <v>100</v>
      </c>
      <c r="G573" s="727">
        <f>ROUND(armatura!G323,2)</f>
        <v>14574.55</v>
      </c>
      <c r="H573" s="704" t="s">
        <v>138</v>
      </c>
      <c r="I573" s="736" t="s">
        <v>207</v>
      </c>
      <c r="J573" s="752">
        <v>225</v>
      </c>
      <c r="K573" s="709"/>
      <c r="L573" s="757"/>
    </row>
    <row r="574" spans="1:12" hidden="1">
      <c r="A574" s="731" t="s">
        <v>203</v>
      </c>
      <c r="B574" s="761" t="s">
        <v>216</v>
      </c>
      <c r="C574" s="705" t="s">
        <v>211</v>
      </c>
      <c r="D574" s="737" t="s">
        <v>168</v>
      </c>
      <c r="E574" s="744">
        <v>5</v>
      </c>
      <c r="F574" s="736" t="s">
        <v>100</v>
      </c>
      <c r="G574" s="727">
        <f>ROUND(armatura!G324,2)</f>
        <v>15584.35</v>
      </c>
      <c r="H574" s="704" t="s">
        <v>138</v>
      </c>
      <c r="I574" s="736" t="s">
        <v>207</v>
      </c>
      <c r="J574" s="752">
        <v>225</v>
      </c>
      <c r="K574" s="709"/>
      <c r="L574" s="757"/>
    </row>
    <row r="575" spans="1:12" hidden="1">
      <c r="A575" s="731" t="s">
        <v>203</v>
      </c>
      <c r="B575" s="761" t="s">
        <v>216</v>
      </c>
      <c r="C575" s="705" t="s">
        <v>66</v>
      </c>
      <c r="D575" s="737" t="s">
        <v>169</v>
      </c>
      <c r="E575" s="744">
        <v>6</v>
      </c>
      <c r="F575" s="736" t="s">
        <v>100</v>
      </c>
      <c r="G575" s="727">
        <f>ROUND(armatura!G325,2)</f>
        <v>22908.1</v>
      </c>
      <c r="H575" s="704" t="s">
        <v>138</v>
      </c>
      <c r="I575" s="736" t="s">
        <v>207</v>
      </c>
      <c r="J575" s="752">
        <v>262</v>
      </c>
      <c r="K575" s="709"/>
      <c r="L575" s="757"/>
    </row>
    <row r="576" spans="1:12" hidden="1">
      <c r="A576" s="731" t="s">
        <v>203</v>
      </c>
      <c r="B576" s="761" t="s">
        <v>216</v>
      </c>
      <c r="C576" s="705" t="s">
        <v>212</v>
      </c>
      <c r="D576" s="737" t="s">
        <v>169</v>
      </c>
      <c r="E576" s="744">
        <v>6</v>
      </c>
      <c r="F576" s="736" t="s">
        <v>100</v>
      </c>
      <c r="G576" s="727">
        <f>ROUND(armatura!G326,2)</f>
        <v>23451.9</v>
      </c>
      <c r="H576" s="704" t="s">
        <v>138</v>
      </c>
      <c r="I576" s="736" t="s">
        <v>207</v>
      </c>
      <c r="J576" s="752">
        <v>262</v>
      </c>
      <c r="K576" s="709"/>
      <c r="L576" s="757"/>
    </row>
    <row r="577" spans="1:12" hidden="1">
      <c r="A577" s="731" t="s">
        <v>203</v>
      </c>
      <c r="B577" s="761" t="s">
        <v>216</v>
      </c>
      <c r="C577" s="705" t="s">
        <v>213</v>
      </c>
      <c r="D577" s="737" t="s">
        <v>170</v>
      </c>
      <c r="E577" s="744">
        <v>8</v>
      </c>
      <c r="F577" s="736" t="s">
        <v>100</v>
      </c>
      <c r="G577" s="727">
        <f>ROUND(armatura!G327,2)</f>
        <v>30581.3</v>
      </c>
      <c r="H577" s="704" t="s">
        <v>138</v>
      </c>
      <c r="I577" s="736" t="s">
        <v>207</v>
      </c>
      <c r="J577" s="752">
        <v>337</v>
      </c>
      <c r="K577" s="709"/>
      <c r="L577" s="757"/>
    </row>
    <row r="578" spans="1:12" hidden="1">
      <c r="A578" s="731" t="s">
        <v>203</v>
      </c>
      <c r="B578" s="761" t="s">
        <v>216</v>
      </c>
      <c r="C578" s="705" t="s">
        <v>214</v>
      </c>
      <c r="D578" s="737" t="s">
        <v>170</v>
      </c>
      <c r="E578" s="744">
        <v>8</v>
      </c>
      <c r="F578" s="736" t="s">
        <v>100</v>
      </c>
      <c r="G578" s="727">
        <f>ROUND(armatura!G328,2)</f>
        <v>30160.400000000001</v>
      </c>
      <c r="H578" s="704" t="s">
        <v>138</v>
      </c>
      <c r="I578" s="736" t="s">
        <v>207</v>
      </c>
      <c r="J578" s="752">
        <v>337</v>
      </c>
      <c r="K578" s="709"/>
      <c r="L578" s="757"/>
    </row>
    <row r="579" spans="1:12" hidden="1">
      <c r="A579" s="731" t="s">
        <v>203</v>
      </c>
      <c r="B579" s="690"/>
      <c r="C579" s="691"/>
      <c r="D579" s="691"/>
      <c r="E579" s="746"/>
      <c r="F579" s="759"/>
      <c r="G579" s="749"/>
      <c r="H579" s="760"/>
      <c r="I579" s="746"/>
      <c r="J579" s="746"/>
      <c r="K579" s="709"/>
      <c r="L579" s="757"/>
    </row>
    <row r="580" spans="1:12" hidden="1">
      <c r="A580" s="731" t="s">
        <v>217</v>
      </c>
      <c r="B580" s="738" t="s">
        <v>218</v>
      </c>
      <c r="C580" s="705" t="s">
        <v>47</v>
      </c>
      <c r="D580" s="705" t="s">
        <v>99</v>
      </c>
      <c r="E580" s="744">
        <v>0.5</v>
      </c>
      <c r="F580" s="736" t="s">
        <v>100</v>
      </c>
      <c r="G580" s="727">
        <f>ROUND(armatura!G330,2)</f>
        <v>206.13</v>
      </c>
      <c r="H580" s="704" t="s">
        <v>113</v>
      </c>
      <c r="I580" s="736" t="s">
        <v>219</v>
      </c>
      <c r="J580" s="762">
        <v>37</v>
      </c>
      <c r="K580" s="709"/>
      <c r="L580" s="757"/>
    </row>
    <row r="581" spans="1:12" hidden="1">
      <c r="A581" s="731" t="s">
        <v>217</v>
      </c>
      <c r="B581" s="738" t="s">
        <v>218</v>
      </c>
      <c r="C581" s="705" t="s">
        <v>49</v>
      </c>
      <c r="D581" s="705" t="s">
        <v>104</v>
      </c>
      <c r="E581" s="744">
        <v>0.75</v>
      </c>
      <c r="F581" s="736" t="s">
        <v>100</v>
      </c>
      <c r="G581" s="727">
        <f>ROUND(armatura!G331,2)</f>
        <v>236.91</v>
      </c>
      <c r="H581" s="704" t="s">
        <v>113</v>
      </c>
      <c r="I581" s="736" t="s">
        <v>219</v>
      </c>
      <c r="J581" s="762">
        <v>50</v>
      </c>
      <c r="K581" s="709"/>
      <c r="L581" s="757"/>
    </row>
    <row r="582" spans="1:12" hidden="1">
      <c r="A582" s="731" t="s">
        <v>217</v>
      </c>
      <c r="B582" s="738" t="s">
        <v>218</v>
      </c>
      <c r="C582" s="705" t="s">
        <v>51</v>
      </c>
      <c r="D582" s="705" t="s">
        <v>105</v>
      </c>
      <c r="E582" s="744">
        <v>1</v>
      </c>
      <c r="F582" s="736" t="s">
        <v>100</v>
      </c>
      <c r="G582" s="727">
        <f>ROUND(armatura!G332,2)</f>
        <v>331.68</v>
      </c>
      <c r="H582" s="704" t="s">
        <v>113</v>
      </c>
      <c r="I582" s="736" t="s">
        <v>219</v>
      </c>
      <c r="J582" s="762">
        <v>56</v>
      </c>
      <c r="K582" s="709"/>
      <c r="L582" s="757"/>
    </row>
    <row r="583" spans="1:12" hidden="1">
      <c r="A583" s="731" t="s">
        <v>217</v>
      </c>
      <c r="B583" s="738" t="s">
        <v>218</v>
      </c>
      <c r="C583" s="705" t="s">
        <v>53</v>
      </c>
      <c r="D583" s="705" t="s">
        <v>106</v>
      </c>
      <c r="E583" s="744">
        <v>1.25</v>
      </c>
      <c r="F583" s="736" t="s">
        <v>100</v>
      </c>
      <c r="G583" s="727">
        <f>ROUND(armatura!G333,2)</f>
        <v>613.64</v>
      </c>
      <c r="H583" s="704" t="s">
        <v>113</v>
      </c>
      <c r="I583" s="736" t="s">
        <v>219</v>
      </c>
      <c r="J583" s="762">
        <v>62</v>
      </c>
      <c r="K583" s="709"/>
      <c r="L583" s="757"/>
    </row>
    <row r="584" spans="1:12" hidden="1">
      <c r="A584" s="731" t="s">
        <v>217</v>
      </c>
      <c r="B584" s="738" t="s">
        <v>218</v>
      </c>
      <c r="C584" s="705" t="s">
        <v>55</v>
      </c>
      <c r="D584" s="705" t="s">
        <v>107</v>
      </c>
      <c r="E584" s="744">
        <v>1.5</v>
      </c>
      <c r="F584" s="736" t="s">
        <v>100</v>
      </c>
      <c r="G584" s="727">
        <f>ROUND(armatura!G334,2)</f>
        <v>871.24</v>
      </c>
      <c r="H584" s="704" t="s">
        <v>113</v>
      </c>
      <c r="I584" s="736" t="s">
        <v>219</v>
      </c>
      <c r="J584" s="762">
        <v>81</v>
      </c>
      <c r="K584" s="709"/>
      <c r="L584" s="757"/>
    </row>
    <row r="585" spans="1:12" hidden="1">
      <c r="A585" s="731" t="s">
        <v>217</v>
      </c>
      <c r="B585" s="738" t="s">
        <v>218</v>
      </c>
      <c r="C585" s="705" t="s">
        <v>57</v>
      </c>
      <c r="D585" s="705" t="s">
        <v>31</v>
      </c>
      <c r="E585" s="744">
        <v>2</v>
      </c>
      <c r="F585" s="736" t="s">
        <v>100</v>
      </c>
      <c r="G585" s="727">
        <f>ROUND(armatura!G335,2)</f>
        <v>1307.1500000000001</v>
      </c>
      <c r="H585" s="704" t="s">
        <v>113</v>
      </c>
      <c r="I585" s="736" t="s">
        <v>219</v>
      </c>
      <c r="J585" s="762">
        <v>100</v>
      </c>
      <c r="K585" s="709"/>
      <c r="L585" s="757"/>
    </row>
    <row r="586" spans="1:12" hidden="1">
      <c r="A586" s="731" t="s">
        <v>217</v>
      </c>
      <c r="B586" s="690"/>
      <c r="C586" s="691"/>
      <c r="D586" s="691"/>
      <c r="E586" s="746"/>
      <c r="F586" s="759"/>
      <c r="G586" s="749"/>
      <c r="H586" s="760"/>
      <c r="I586" s="746"/>
      <c r="J586" s="763"/>
      <c r="K586" s="709"/>
      <c r="L586" s="757"/>
    </row>
    <row r="587" spans="1:12" hidden="1">
      <c r="A587" s="731" t="s">
        <v>217</v>
      </c>
      <c r="B587" s="738" t="s">
        <v>218</v>
      </c>
      <c r="C587" s="705" t="s">
        <v>47</v>
      </c>
      <c r="D587" s="705" t="s">
        <v>99</v>
      </c>
      <c r="E587" s="744">
        <v>0.5</v>
      </c>
      <c r="F587" s="736" t="s">
        <v>100</v>
      </c>
      <c r="G587" s="727">
        <f>ROUND(armatura!G337,2)</f>
        <v>455.98</v>
      </c>
      <c r="H587" s="704" t="s">
        <v>113</v>
      </c>
      <c r="I587" s="736" t="s">
        <v>220</v>
      </c>
      <c r="J587" s="762">
        <v>37</v>
      </c>
      <c r="K587" s="709"/>
      <c r="L587" s="757"/>
    </row>
    <row r="588" spans="1:12" hidden="1">
      <c r="A588" s="731" t="s">
        <v>217</v>
      </c>
      <c r="B588" s="738" t="s">
        <v>218</v>
      </c>
      <c r="C588" s="705" t="s">
        <v>49</v>
      </c>
      <c r="D588" s="705" t="s">
        <v>104</v>
      </c>
      <c r="E588" s="744">
        <v>0.75</v>
      </c>
      <c r="F588" s="736" t="s">
        <v>100</v>
      </c>
      <c r="G588" s="727">
        <f>ROUND(armatura!G338,2)</f>
        <v>586.59</v>
      </c>
      <c r="H588" s="704" t="s">
        <v>113</v>
      </c>
      <c r="I588" s="736" t="s">
        <v>220</v>
      </c>
      <c r="J588" s="762">
        <v>50</v>
      </c>
      <c r="K588" s="709"/>
      <c r="L588" s="757"/>
    </row>
    <row r="589" spans="1:12" hidden="1">
      <c r="A589" s="731" t="s">
        <v>217</v>
      </c>
      <c r="B589" s="738" t="s">
        <v>218</v>
      </c>
      <c r="C589" s="705" t="s">
        <v>51</v>
      </c>
      <c r="D589" s="705" t="s">
        <v>105</v>
      </c>
      <c r="E589" s="744">
        <v>1</v>
      </c>
      <c r="F589" s="736" t="s">
        <v>100</v>
      </c>
      <c r="G589" s="727">
        <f>ROUND(armatura!G339,2)</f>
        <v>817.18</v>
      </c>
      <c r="H589" s="704" t="s">
        <v>113</v>
      </c>
      <c r="I589" s="736" t="s">
        <v>220</v>
      </c>
      <c r="J589" s="762">
        <v>56</v>
      </c>
      <c r="K589" s="709"/>
      <c r="L589" s="757"/>
    </row>
    <row r="590" spans="1:12" hidden="1">
      <c r="A590" s="731" t="s">
        <v>217</v>
      </c>
      <c r="B590" s="738" t="s">
        <v>218</v>
      </c>
      <c r="C590" s="705" t="s">
        <v>53</v>
      </c>
      <c r="D590" s="705" t="s">
        <v>106</v>
      </c>
      <c r="E590" s="744">
        <v>1.25</v>
      </c>
      <c r="F590" s="736" t="s">
        <v>100</v>
      </c>
      <c r="G590" s="727">
        <f>ROUND(armatura!G340,2)</f>
        <v>1506.78</v>
      </c>
      <c r="H590" s="704" t="s">
        <v>113</v>
      </c>
      <c r="I590" s="736" t="s">
        <v>220</v>
      </c>
      <c r="J590" s="762">
        <v>62</v>
      </c>
      <c r="K590" s="709"/>
      <c r="L590" s="757"/>
    </row>
    <row r="591" spans="1:12" hidden="1">
      <c r="A591" s="731" t="s">
        <v>217</v>
      </c>
      <c r="B591" s="738" t="s">
        <v>218</v>
      </c>
      <c r="C591" s="705" t="s">
        <v>55</v>
      </c>
      <c r="D591" s="705" t="s">
        <v>107</v>
      </c>
      <c r="E591" s="744">
        <v>1.5</v>
      </c>
      <c r="F591" s="736" t="s">
        <v>100</v>
      </c>
      <c r="G591" s="727">
        <f>ROUND(armatura!G341,2)</f>
        <v>2123.4299999999998</v>
      </c>
      <c r="H591" s="704" t="s">
        <v>113</v>
      </c>
      <c r="I591" s="736" t="s">
        <v>220</v>
      </c>
      <c r="J591" s="762">
        <v>81</v>
      </c>
      <c r="K591" s="709"/>
      <c r="L591" s="757"/>
    </row>
    <row r="592" spans="1:12" hidden="1">
      <c r="A592" s="731" t="s">
        <v>217</v>
      </c>
      <c r="B592" s="738" t="s">
        <v>218</v>
      </c>
      <c r="C592" s="705" t="s">
        <v>57</v>
      </c>
      <c r="D592" s="705" t="s">
        <v>31</v>
      </c>
      <c r="E592" s="744">
        <v>2</v>
      </c>
      <c r="F592" s="736" t="s">
        <v>100</v>
      </c>
      <c r="G592" s="727">
        <f>ROUND(armatura!G342,2)</f>
        <v>2952.83</v>
      </c>
      <c r="H592" s="704" t="s">
        <v>113</v>
      </c>
      <c r="I592" s="736" t="s">
        <v>220</v>
      </c>
      <c r="J592" s="762">
        <v>100</v>
      </c>
      <c r="K592" s="709"/>
      <c r="L592" s="757"/>
    </row>
    <row r="593" spans="1:12" hidden="1">
      <c r="A593" s="731" t="s">
        <v>217</v>
      </c>
      <c r="B593" s="738" t="s">
        <v>218</v>
      </c>
      <c r="C593" s="705" t="s">
        <v>59</v>
      </c>
      <c r="D593" s="844" t="s">
        <v>33</v>
      </c>
      <c r="E593" s="845" t="s">
        <v>34</v>
      </c>
      <c r="F593" s="736" t="s">
        <v>100</v>
      </c>
      <c r="G593" s="727">
        <f>ROUND(armatura!G343,2)</f>
        <v>4982.1000000000004</v>
      </c>
      <c r="H593" s="704" t="s">
        <v>113</v>
      </c>
      <c r="I593" s="736" t="s">
        <v>220</v>
      </c>
      <c r="J593" s="762">
        <v>125</v>
      </c>
      <c r="K593" s="709"/>
      <c r="L593" s="757"/>
    </row>
    <row r="594" spans="1:12" hidden="1">
      <c r="A594" s="731" t="s">
        <v>217</v>
      </c>
      <c r="B594" s="738" t="s">
        <v>218</v>
      </c>
      <c r="C594" s="705" t="s">
        <v>60</v>
      </c>
      <c r="D594" s="700" t="s">
        <v>35</v>
      </c>
      <c r="E594" s="744">
        <v>3</v>
      </c>
      <c r="F594" s="736" t="s">
        <v>100</v>
      </c>
      <c r="G594" s="727">
        <f>ROUND(armatura!G344,2)</f>
        <v>6543.97</v>
      </c>
      <c r="H594" s="704" t="s">
        <v>113</v>
      </c>
      <c r="I594" s="736" t="s">
        <v>220</v>
      </c>
      <c r="J594" s="762">
        <v>150</v>
      </c>
      <c r="K594" s="709"/>
      <c r="L594" s="757"/>
    </row>
    <row r="595" spans="1:12" hidden="1">
      <c r="A595" s="731" t="s">
        <v>217</v>
      </c>
      <c r="B595" s="738" t="s">
        <v>218</v>
      </c>
      <c r="C595" s="705" t="s">
        <v>208</v>
      </c>
      <c r="D595" s="844" t="s">
        <v>37</v>
      </c>
      <c r="E595" s="744">
        <v>4</v>
      </c>
      <c r="F595" s="736" t="s">
        <v>100</v>
      </c>
      <c r="G595" s="727">
        <f>ROUND(armatura!G345,2)</f>
        <v>11827.59</v>
      </c>
      <c r="H595" s="704" t="s">
        <v>113</v>
      </c>
      <c r="I595" s="736" t="s">
        <v>220</v>
      </c>
      <c r="J595" s="762">
        <v>175</v>
      </c>
      <c r="K595" s="709"/>
      <c r="L595" s="757"/>
    </row>
    <row r="596" spans="1:12" hidden="1">
      <c r="A596" s="689"/>
      <c r="B596" s="690"/>
      <c r="C596" s="691"/>
      <c r="D596" s="691"/>
      <c r="E596" s="746"/>
      <c r="F596" s="759"/>
      <c r="G596" s="749"/>
      <c r="H596" s="760"/>
      <c r="I596" s="746"/>
      <c r="J596" s="746"/>
      <c r="K596" s="709"/>
      <c r="L596" s="757"/>
    </row>
    <row r="597" spans="1:12" ht="16.5" hidden="1">
      <c r="A597" s="731" t="s">
        <v>221</v>
      </c>
      <c r="B597" s="738" t="s">
        <v>222</v>
      </c>
      <c r="C597" s="764" t="s">
        <v>47</v>
      </c>
      <c r="D597" s="705" t="s">
        <v>99</v>
      </c>
      <c r="E597" s="744">
        <v>0.5</v>
      </c>
      <c r="F597" s="736" t="s">
        <v>19</v>
      </c>
      <c r="G597" s="727">
        <f>ROUND('r.czarna'!F5,2)</f>
        <v>24.52</v>
      </c>
      <c r="H597" s="704" t="s">
        <v>45</v>
      </c>
      <c r="I597" s="736"/>
      <c r="J597" s="752">
        <v>66</v>
      </c>
      <c r="K597" s="709"/>
      <c r="L597" s="757"/>
    </row>
    <row r="598" spans="1:12" ht="16.5" hidden="1">
      <c r="A598" s="731" t="s">
        <v>221</v>
      </c>
      <c r="B598" s="738" t="s">
        <v>222</v>
      </c>
      <c r="C598" s="764" t="s">
        <v>49</v>
      </c>
      <c r="D598" s="705" t="s">
        <v>104</v>
      </c>
      <c r="E598" s="744">
        <v>0.75</v>
      </c>
      <c r="F598" s="736" t="s">
        <v>19</v>
      </c>
      <c r="G598" s="727">
        <f>ROUND('r.czarna'!F6,2)</f>
        <v>28.53</v>
      </c>
      <c r="H598" s="704" t="s">
        <v>45</v>
      </c>
      <c r="I598" s="736"/>
      <c r="J598" s="752">
        <v>74</v>
      </c>
      <c r="K598" s="709"/>
      <c r="L598" s="757"/>
    </row>
    <row r="599" spans="1:12" ht="16.5" hidden="1">
      <c r="A599" s="731" t="s">
        <v>221</v>
      </c>
      <c r="B599" s="738" t="s">
        <v>222</v>
      </c>
      <c r="C599" s="764" t="s">
        <v>51</v>
      </c>
      <c r="D599" s="705" t="s">
        <v>105</v>
      </c>
      <c r="E599" s="744">
        <v>1</v>
      </c>
      <c r="F599" s="736" t="s">
        <v>19</v>
      </c>
      <c r="G599" s="727">
        <f>ROUND('r.czarna'!F7,2)</f>
        <v>33.96</v>
      </c>
      <c r="H599" s="704" t="s">
        <v>45</v>
      </c>
      <c r="I599" s="736"/>
      <c r="J599" s="752">
        <v>82</v>
      </c>
      <c r="K599" s="709"/>
      <c r="L599" s="757"/>
    </row>
    <row r="600" spans="1:12" ht="16.5" hidden="1">
      <c r="A600" s="731" t="s">
        <v>221</v>
      </c>
      <c r="B600" s="738" t="s">
        <v>222</v>
      </c>
      <c r="C600" s="764" t="s">
        <v>53</v>
      </c>
      <c r="D600" s="705" t="s">
        <v>106</v>
      </c>
      <c r="E600" s="744">
        <v>1.25</v>
      </c>
      <c r="F600" s="736" t="s">
        <v>19</v>
      </c>
      <c r="G600" s="727">
        <f>ROUND('r.czarna'!F8,2)</f>
        <v>43.2</v>
      </c>
      <c r="H600" s="704" t="s">
        <v>45</v>
      </c>
      <c r="I600" s="736"/>
      <c r="J600" s="752">
        <v>100</v>
      </c>
      <c r="K600" s="709"/>
      <c r="L600" s="757"/>
    </row>
    <row r="601" spans="1:12" ht="16.5" hidden="1">
      <c r="A601" s="731" t="s">
        <v>221</v>
      </c>
      <c r="B601" s="738" t="s">
        <v>222</v>
      </c>
      <c r="C601" s="764" t="s">
        <v>55</v>
      </c>
      <c r="D601" s="705" t="s">
        <v>107</v>
      </c>
      <c r="E601" s="744">
        <v>1.5</v>
      </c>
      <c r="F601" s="736" t="s">
        <v>19</v>
      </c>
      <c r="G601" s="727">
        <f>ROUND('r.czarna'!F9,2)</f>
        <v>45.26</v>
      </c>
      <c r="H601" s="704" t="s">
        <v>45</v>
      </c>
      <c r="I601" s="736"/>
      <c r="J601" s="752">
        <v>115</v>
      </c>
      <c r="K601" s="709"/>
      <c r="L601" s="757"/>
    </row>
    <row r="602" spans="1:12" ht="16.5" hidden="1">
      <c r="A602" s="731" t="s">
        <v>221</v>
      </c>
      <c r="B602" s="738" t="s">
        <v>222</v>
      </c>
      <c r="C602" s="764" t="s">
        <v>57</v>
      </c>
      <c r="D602" s="705" t="s">
        <v>31</v>
      </c>
      <c r="E602" s="735">
        <v>2</v>
      </c>
      <c r="F602" s="736" t="s">
        <v>19</v>
      </c>
      <c r="G602" s="727">
        <f>ROUND('r.czarna'!F10,2)</f>
        <v>58.34</v>
      </c>
      <c r="H602" s="704" t="s">
        <v>45</v>
      </c>
      <c r="I602" s="736"/>
      <c r="J602" s="752">
        <v>130</v>
      </c>
      <c r="K602" s="709"/>
      <c r="L602" s="757"/>
    </row>
    <row r="603" spans="1:12" ht="16.5" hidden="1">
      <c r="A603" s="731" t="s">
        <v>221</v>
      </c>
      <c r="B603" s="738" t="s">
        <v>222</v>
      </c>
      <c r="C603" s="764" t="s">
        <v>59</v>
      </c>
      <c r="D603" s="844" t="s">
        <v>33</v>
      </c>
      <c r="E603" s="845" t="s">
        <v>34</v>
      </c>
      <c r="F603" s="736" t="s">
        <v>19</v>
      </c>
      <c r="G603" s="727">
        <f>ROUND('r.czarna'!F11,2)</f>
        <v>73.69</v>
      </c>
      <c r="H603" s="704" t="s">
        <v>45</v>
      </c>
      <c r="I603" s="736"/>
      <c r="J603" s="752">
        <v>142</v>
      </c>
      <c r="K603" s="709"/>
      <c r="L603" s="757"/>
    </row>
    <row r="604" spans="1:12" ht="16.5" hidden="1">
      <c r="A604" s="731" t="s">
        <v>221</v>
      </c>
      <c r="B604" s="738" t="s">
        <v>222</v>
      </c>
      <c r="C604" s="764" t="s">
        <v>60</v>
      </c>
      <c r="D604" s="700" t="s">
        <v>35</v>
      </c>
      <c r="E604" s="735">
        <v>3</v>
      </c>
      <c r="F604" s="736" t="s">
        <v>19</v>
      </c>
      <c r="G604" s="727">
        <f>ROUND('r.czarna'!F12,2)</f>
        <v>89.83</v>
      </c>
      <c r="H604" s="704" t="s">
        <v>45</v>
      </c>
      <c r="I604" s="736"/>
      <c r="J604" s="752">
        <v>144</v>
      </c>
      <c r="K604" s="709"/>
      <c r="L604" s="757"/>
    </row>
    <row r="605" spans="1:12" ht="16.5" hidden="1">
      <c r="A605" s="731" t="s">
        <v>221</v>
      </c>
      <c r="B605" s="738" t="s">
        <v>222</v>
      </c>
      <c r="C605" s="764" t="s">
        <v>62</v>
      </c>
      <c r="D605" s="844" t="s">
        <v>37</v>
      </c>
      <c r="E605" s="735">
        <v>4</v>
      </c>
      <c r="F605" s="736" t="s">
        <v>19</v>
      </c>
      <c r="G605" s="727">
        <f>ROUND('r.czarna'!F13,2)</f>
        <v>124.5</v>
      </c>
      <c r="H605" s="704" t="s">
        <v>45</v>
      </c>
      <c r="I605" s="736"/>
      <c r="J605" s="752">
        <v>160</v>
      </c>
      <c r="K605" s="709"/>
      <c r="L605" s="757"/>
    </row>
    <row r="606" spans="1:12" ht="16.5" hidden="1">
      <c r="A606" s="731" t="s">
        <v>221</v>
      </c>
      <c r="B606" s="738" t="s">
        <v>222</v>
      </c>
      <c r="C606" s="764" t="s">
        <v>63</v>
      </c>
      <c r="D606" s="737" t="s">
        <v>168</v>
      </c>
      <c r="E606" s="735">
        <v>5</v>
      </c>
      <c r="F606" s="736" t="s">
        <v>19</v>
      </c>
      <c r="G606" s="727">
        <f>ROUND('r.czarna'!F14,2)</f>
        <v>190.17</v>
      </c>
      <c r="H606" s="704" t="s">
        <v>45</v>
      </c>
      <c r="I606" s="736"/>
      <c r="J606" s="752">
        <v>177</v>
      </c>
      <c r="K606" s="709"/>
      <c r="L606" s="757"/>
    </row>
    <row r="607" spans="1:12" ht="16.5" hidden="1">
      <c r="A607" s="731" t="s">
        <v>221</v>
      </c>
      <c r="B607" s="738" t="s">
        <v>222</v>
      </c>
      <c r="C607" s="764" t="s">
        <v>66</v>
      </c>
      <c r="D607" s="737" t="s">
        <v>169</v>
      </c>
      <c r="E607" s="735">
        <v>6</v>
      </c>
      <c r="F607" s="736" t="s">
        <v>19</v>
      </c>
      <c r="G607" s="727">
        <f>ROUND('r.czarna'!F15,2)</f>
        <v>231.27</v>
      </c>
      <c r="H607" s="704" t="s">
        <v>45</v>
      </c>
      <c r="I607" s="736"/>
      <c r="J607" s="752">
        <v>221</v>
      </c>
      <c r="K607" s="709"/>
      <c r="L607" s="757"/>
    </row>
    <row r="608" spans="1:12" ht="16.5" hidden="1">
      <c r="A608" s="731" t="s">
        <v>221</v>
      </c>
      <c r="B608" s="738" t="s">
        <v>222</v>
      </c>
      <c r="C608" s="764" t="s">
        <v>121</v>
      </c>
      <c r="D608" s="737" t="s">
        <v>170</v>
      </c>
      <c r="E608" s="735">
        <v>8</v>
      </c>
      <c r="F608" s="736" t="s">
        <v>19</v>
      </c>
      <c r="G608" s="727">
        <f>ROUND('r.czarna'!F16,2)</f>
        <v>365.4</v>
      </c>
      <c r="H608" s="704" t="s">
        <v>45</v>
      </c>
      <c r="I608" s="736"/>
      <c r="J608" s="752">
        <v>264</v>
      </c>
      <c r="K608" s="709"/>
      <c r="L608" s="757"/>
    </row>
    <row r="609" spans="1:12" ht="16.5" hidden="1">
      <c r="A609" s="731" t="s">
        <v>221</v>
      </c>
      <c r="B609" s="738" t="s">
        <v>222</v>
      </c>
      <c r="C609" s="764" t="s">
        <v>122</v>
      </c>
      <c r="D609" s="737" t="s">
        <v>171</v>
      </c>
      <c r="E609" s="735">
        <v>10</v>
      </c>
      <c r="F609" s="736" t="s">
        <v>19</v>
      </c>
      <c r="G609" s="727">
        <f>ROUND('r.czarna'!F17,2)</f>
        <v>470.36</v>
      </c>
      <c r="H609" s="704" t="s">
        <v>45</v>
      </c>
      <c r="I609" s="736"/>
      <c r="J609" s="752">
        <v>308</v>
      </c>
      <c r="K609" s="709"/>
      <c r="L609" s="757"/>
    </row>
    <row r="610" spans="1:12" ht="16.5" hidden="1">
      <c r="A610" s="731" t="s">
        <v>221</v>
      </c>
      <c r="B610" s="738" t="s">
        <v>222</v>
      </c>
      <c r="C610" s="764" t="s">
        <v>156</v>
      </c>
      <c r="D610" s="737" t="s">
        <v>172</v>
      </c>
      <c r="E610" s="735">
        <v>12</v>
      </c>
      <c r="F610" s="736" t="s">
        <v>19</v>
      </c>
      <c r="G610" s="727">
        <f>ROUND('r.czarna'!F18,2)</f>
        <v>628.17999999999995</v>
      </c>
      <c r="H610" s="704" t="s">
        <v>45</v>
      </c>
      <c r="I610" s="736"/>
      <c r="J610" s="752">
        <v>566</v>
      </c>
      <c r="K610" s="709"/>
      <c r="L610" s="757"/>
    </row>
    <row r="611" spans="1:12" ht="16.5" hidden="1">
      <c r="A611" s="731" t="s">
        <v>221</v>
      </c>
      <c r="B611" s="738" t="s">
        <v>222</v>
      </c>
      <c r="C611" s="764" t="s">
        <v>158</v>
      </c>
      <c r="D611" s="737" t="s">
        <v>175</v>
      </c>
      <c r="E611" s="735">
        <v>14</v>
      </c>
      <c r="F611" s="736" t="s">
        <v>19</v>
      </c>
      <c r="G611" s="727">
        <f>ROUND('r.czarna'!F19,2)</f>
        <v>869.19</v>
      </c>
      <c r="H611" s="704" t="s">
        <v>45</v>
      </c>
      <c r="I611" s="736"/>
      <c r="J611" s="752">
        <v>833</v>
      </c>
      <c r="K611" s="709"/>
      <c r="L611" s="757"/>
    </row>
    <row r="612" spans="1:12" ht="16.5" hidden="1">
      <c r="A612" s="731" t="s">
        <v>221</v>
      </c>
      <c r="B612" s="738" t="s">
        <v>222</v>
      </c>
      <c r="C612" s="764" t="s">
        <v>176</v>
      </c>
      <c r="D612" s="737" t="s">
        <v>177</v>
      </c>
      <c r="E612" s="735">
        <v>16</v>
      </c>
      <c r="F612" s="736" t="s">
        <v>19</v>
      </c>
      <c r="G612" s="727">
        <f>ROUND('r.czarna'!F20,2)</f>
        <v>1146.6099999999999</v>
      </c>
      <c r="H612" s="704" t="s">
        <v>45</v>
      </c>
      <c r="I612" s="736"/>
      <c r="J612" s="752">
        <v>1000</v>
      </c>
      <c r="K612" s="709"/>
      <c r="L612" s="757"/>
    </row>
    <row r="613" spans="1:12" ht="16.5" hidden="1">
      <c r="A613" s="731" t="s">
        <v>221</v>
      </c>
      <c r="B613" s="738" t="s">
        <v>222</v>
      </c>
      <c r="C613" s="764" t="s">
        <v>178</v>
      </c>
      <c r="D613" s="734" t="s">
        <v>179</v>
      </c>
      <c r="E613" s="735">
        <v>20</v>
      </c>
      <c r="F613" s="736" t="s">
        <v>19</v>
      </c>
      <c r="G613" s="727">
        <f>ROUND('r.czarna'!F21,2)</f>
        <v>2082.25</v>
      </c>
      <c r="H613" s="704" t="s">
        <v>45</v>
      </c>
      <c r="I613" s="736"/>
      <c r="J613" s="738"/>
      <c r="K613" s="709"/>
      <c r="L613" s="757"/>
    </row>
    <row r="614" spans="1:12" ht="16.5" hidden="1">
      <c r="A614" s="731" t="s">
        <v>221</v>
      </c>
      <c r="B614" s="738" t="s">
        <v>222</v>
      </c>
      <c r="C614" s="764" t="s">
        <v>190</v>
      </c>
      <c r="D614" s="734" t="s">
        <v>191</v>
      </c>
      <c r="E614" s="735">
        <v>24</v>
      </c>
      <c r="F614" s="736" t="s">
        <v>19</v>
      </c>
      <c r="G614" s="727">
        <f>ROUND('r.czarna'!F22,2)</f>
        <v>3384.07</v>
      </c>
      <c r="H614" s="704" t="s">
        <v>45</v>
      </c>
      <c r="I614" s="736"/>
      <c r="J614" s="738"/>
      <c r="K614" s="709"/>
      <c r="L614" s="757"/>
    </row>
    <row r="615" spans="1:12" hidden="1">
      <c r="A615" s="689"/>
      <c r="B615" s="690"/>
      <c r="C615" s="691"/>
      <c r="D615" s="691"/>
      <c r="E615" s="746"/>
      <c r="F615" s="759"/>
      <c r="G615" s="749"/>
      <c r="H615" s="760"/>
      <c r="I615" s="746"/>
      <c r="J615" s="746"/>
      <c r="K615" s="709"/>
      <c r="L615" s="757"/>
    </row>
    <row r="616" spans="1:12" ht="16.5" hidden="1">
      <c r="A616" s="731" t="s">
        <v>221</v>
      </c>
      <c r="B616" s="738" t="s">
        <v>222</v>
      </c>
      <c r="C616" s="764" t="s">
        <v>47</v>
      </c>
      <c r="D616" s="705" t="s">
        <v>99</v>
      </c>
      <c r="E616" s="744">
        <v>0.5</v>
      </c>
      <c r="F616" s="736" t="s">
        <v>19</v>
      </c>
      <c r="G616" s="727">
        <f>ROUND('r.czarna'!J5,2)</f>
        <v>33.49</v>
      </c>
      <c r="H616" s="704" t="s">
        <v>45</v>
      </c>
      <c r="I616" s="736" t="s">
        <v>223</v>
      </c>
      <c r="J616" s="752">
        <v>66</v>
      </c>
      <c r="K616" s="709"/>
      <c r="L616" s="757"/>
    </row>
    <row r="617" spans="1:12" ht="16.5" hidden="1">
      <c r="A617" s="731" t="s">
        <v>221</v>
      </c>
      <c r="B617" s="738" t="s">
        <v>222</v>
      </c>
      <c r="C617" s="764" t="s">
        <v>49</v>
      </c>
      <c r="D617" s="705" t="s">
        <v>104</v>
      </c>
      <c r="E617" s="744">
        <v>0.75</v>
      </c>
      <c r="F617" s="736" t="s">
        <v>19</v>
      </c>
      <c r="G617" s="727">
        <f>ROUND('r.czarna'!J6,2)</f>
        <v>38.020000000000003</v>
      </c>
      <c r="H617" s="704" t="s">
        <v>45</v>
      </c>
      <c r="I617" s="736" t="s">
        <v>223</v>
      </c>
      <c r="J617" s="752">
        <v>74</v>
      </c>
      <c r="K617" s="709"/>
      <c r="L617" s="757"/>
    </row>
    <row r="618" spans="1:12" ht="16.5" hidden="1">
      <c r="A618" s="731" t="s">
        <v>221</v>
      </c>
      <c r="B618" s="738" t="s">
        <v>222</v>
      </c>
      <c r="C618" s="764" t="s">
        <v>51</v>
      </c>
      <c r="D618" s="705" t="s">
        <v>105</v>
      </c>
      <c r="E618" s="744">
        <v>1</v>
      </c>
      <c r="F618" s="736" t="s">
        <v>19</v>
      </c>
      <c r="G618" s="727">
        <f>ROUND('r.czarna'!J7,2)</f>
        <v>52.58</v>
      </c>
      <c r="H618" s="704" t="s">
        <v>45</v>
      </c>
      <c r="I618" s="736" t="s">
        <v>223</v>
      </c>
      <c r="J618" s="752">
        <v>82</v>
      </c>
      <c r="K618" s="709"/>
      <c r="L618" s="757"/>
    </row>
    <row r="619" spans="1:12" ht="16.5" hidden="1">
      <c r="A619" s="731" t="s">
        <v>221</v>
      </c>
      <c r="B619" s="738" t="s">
        <v>222</v>
      </c>
      <c r="C619" s="764" t="s">
        <v>53</v>
      </c>
      <c r="D619" s="705" t="s">
        <v>106</v>
      </c>
      <c r="E619" s="744">
        <v>1.25</v>
      </c>
      <c r="F619" s="736" t="s">
        <v>19</v>
      </c>
      <c r="G619" s="727">
        <f>ROUND('r.czarna'!J8,2)</f>
        <v>60.65</v>
      </c>
      <c r="H619" s="704" t="s">
        <v>45</v>
      </c>
      <c r="I619" s="736" t="s">
        <v>223</v>
      </c>
      <c r="J619" s="752">
        <v>100</v>
      </c>
      <c r="K619" s="709"/>
      <c r="L619" s="757"/>
    </row>
    <row r="620" spans="1:12" ht="16.5" hidden="1">
      <c r="A620" s="731" t="s">
        <v>221</v>
      </c>
      <c r="B620" s="738" t="s">
        <v>222</v>
      </c>
      <c r="C620" s="764" t="s">
        <v>55</v>
      </c>
      <c r="D620" s="705" t="s">
        <v>107</v>
      </c>
      <c r="E620" s="744">
        <v>1.5</v>
      </c>
      <c r="F620" s="736" t="s">
        <v>19</v>
      </c>
      <c r="G620" s="727">
        <f>ROUND('r.czarna'!J9,2)</f>
        <v>70.38</v>
      </c>
      <c r="H620" s="704" t="s">
        <v>45</v>
      </c>
      <c r="I620" s="736" t="s">
        <v>223</v>
      </c>
      <c r="J620" s="752">
        <v>115</v>
      </c>
      <c r="K620" s="709"/>
      <c r="L620" s="757"/>
    </row>
    <row r="621" spans="1:12" ht="16.5" hidden="1">
      <c r="A621" s="731" t="s">
        <v>221</v>
      </c>
      <c r="B621" s="738" t="s">
        <v>222</v>
      </c>
      <c r="C621" s="764" t="s">
        <v>57</v>
      </c>
      <c r="D621" s="705" t="s">
        <v>31</v>
      </c>
      <c r="E621" s="735">
        <v>2</v>
      </c>
      <c r="F621" s="736" t="s">
        <v>19</v>
      </c>
      <c r="G621" s="727">
        <f>ROUND('r.czarna'!J10,2)</f>
        <v>91.68</v>
      </c>
      <c r="H621" s="704" t="s">
        <v>45</v>
      </c>
      <c r="I621" s="736" t="s">
        <v>223</v>
      </c>
      <c r="J621" s="752">
        <v>130</v>
      </c>
      <c r="K621" s="709"/>
      <c r="L621" s="757"/>
    </row>
    <row r="622" spans="1:12" ht="16.5" hidden="1">
      <c r="A622" s="731" t="s">
        <v>221</v>
      </c>
      <c r="B622" s="738" t="s">
        <v>222</v>
      </c>
      <c r="C622" s="764" t="s">
        <v>59</v>
      </c>
      <c r="D622" s="844" t="s">
        <v>33</v>
      </c>
      <c r="E622" s="845" t="s">
        <v>34</v>
      </c>
      <c r="F622" s="736" t="s">
        <v>19</v>
      </c>
      <c r="G622" s="727">
        <f>ROUND('r.czarna'!J11,2)</f>
        <v>108.03</v>
      </c>
      <c r="H622" s="704" t="s">
        <v>45</v>
      </c>
      <c r="I622" s="736" t="s">
        <v>223</v>
      </c>
      <c r="J622" s="752">
        <v>142</v>
      </c>
      <c r="K622" s="709"/>
      <c r="L622" s="757"/>
    </row>
    <row r="623" spans="1:12" ht="16.5" hidden="1">
      <c r="A623" s="731" t="s">
        <v>221</v>
      </c>
      <c r="B623" s="738" t="s">
        <v>222</v>
      </c>
      <c r="C623" s="764" t="s">
        <v>60</v>
      </c>
      <c r="D623" s="700" t="s">
        <v>35</v>
      </c>
      <c r="E623" s="735">
        <v>3</v>
      </c>
      <c r="F623" s="736" t="s">
        <v>19</v>
      </c>
      <c r="G623" s="727">
        <f>ROUND('r.czarna'!J12,2)</f>
        <v>117.74</v>
      </c>
      <c r="H623" s="704" t="s">
        <v>45</v>
      </c>
      <c r="I623" s="736" t="s">
        <v>223</v>
      </c>
      <c r="J623" s="752">
        <v>144</v>
      </c>
      <c r="K623" s="709"/>
      <c r="L623" s="757"/>
    </row>
    <row r="624" spans="1:12" ht="16.5" hidden="1">
      <c r="A624" s="731" t="s">
        <v>221</v>
      </c>
      <c r="B624" s="738" t="s">
        <v>222</v>
      </c>
      <c r="C624" s="764" t="s">
        <v>62</v>
      </c>
      <c r="D624" s="844" t="s">
        <v>37</v>
      </c>
      <c r="E624" s="735">
        <v>4</v>
      </c>
      <c r="F624" s="736" t="s">
        <v>19</v>
      </c>
      <c r="G624" s="727">
        <f>ROUND('r.czarna'!J13,2)</f>
        <v>207.06</v>
      </c>
      <c r="H624" s="704" t="s">
        <v>45</v>
      </c>
      <c r="I624" s="736" t="s">
        <v>223</v>
      </c>
      <c r="J624" s="752">
        <v>160</v>
      </c>
      <c r="K624" s="709"/>
      <c r="L624" s="757"/>
    </row>
    <row r="625" spans="1:12" ht="16.5" hidden="1">
      <c r="A625" s="731" t="s">
        <v>221</v>
      </c>
      <c r="B625" s="738" t="s">
        <v>222</v>
      </c>
      <c r="C625" s="764" t="s">
        <v>63</v>
      </c>
      <c r="D625" s="737" t="s">
        <v>168</v>
      </c>
      <c r="E625" s="735">
        <v>5</v>
      </c>
      <c r="F625" s="736" t="s">
        <v>19</v>
      </c>
      <c r="G625" s="727">
        <f>ROUND('r.czarna'!J14,2)</f>
        <v>338.37</v>
      </c>
      <c r="H625" s="704" t="s">
        <v>45</v>
      </c>
      <c r="I625" s="736" t="s">
        <v>223</v>
      </c>
      <c r="J625" s="752">
        <v>177</v>
      </c>
      <c r="K625" s="709"/>
      <c r="L625" s="757"/>
    </row>
    <row r="626" spans="1:12" ht="16.5" hidden="1">
      <c r="A626" s="731" t="s">
        <v>221</v>
      </c>
      <c r="B626" s="738" t="s">
        <v>222</v>
      </c>
      <c r="C626" s="764" t="s">
        <v>66</v>
      </c>
      <c r="D626" s="737" t="s">
        <v>169</v>
      </c>
      <c r="E626" s="735">
        <v>6</v>
      </c>
      <c r="F626" s="736" t="s">
        <v>19</v>
      </c>
      <c r="G626" s="727">
        <f>ROUND('r.czarna'!J15,2)</f>
        <v>389.17</v>
      </c>
      <c r="H626" s="704" t="s">
        <v>45</v>
      </c>
      <c r="I626" s="736" t="s">
        <v>223</v>
      </c>
      <c r="J626" s="752">
        <v>221</v>
      </c>
      <c r="K626" s="709"/>
      <c r="L626" s="757"/>
    </row>
    <row r="627" spans="1:12" ht="16.5" hidden="1">
      <c r="A627" s="731" t="s">
        <v>221</v>
      </c>
      <c r="B627" s="738" t="s">
        <v>222</v>
      </c>
      <c r="C627" s="764" t="s">
        <v>121</v>
      </c>
      <c r="D627" s="737" t="s">
        <v>170</v>
      </c>
      <c r="E627" s="735">
        <v>8</v>
      </c>
      <c r="F627" s="736" t="s">
        <v>19</v>
      </c>
      <c r="G627" s="727">
        <f>ROUND('r.czarna'!J16,2)</f>
        <v>680.55</v>
      </c>
      <c r="H627" s="704" t="s">
        <v>45</v>
      </c>
      <c r="I627" s="736" t="s">
        <v>223</v>
      </c>
      <c r="J627" s="752">
        <v>264</v>
      </c>
      <c r="K627" s="709"/>
      <c r="L627" s="757"/>
    </row>
    <row r="628" spans="1:12" ht="16.5" hidden="1">
      <c r="A628" s="731" t="s">
        <v>221</v>
      </c>
      <c r="B628" s="738" t="s">
        <v>222</v>
      </c>
      <c r="C628" s="764" t="s">
        <v>122</v>
      </c>
      <c r="D628" s="737" t="s">
        <v>171</v>
      </c>
      <c r="E628" s="735">
        <v>10</v>
      </c>
      <c r="F628" s="736" t="s">
        <v>19</v>
      </c>
      <c r="G628" s="727">
        <f>ROUND('r.czarna'!J17,2)</f>
        <v>732.77</v>
      </c>
      <c r="H628" s="704" t="s">
        <v>45</v>
      </c>
      <c r="I628" s="736" t="s">
        <v>223</v>
      </c>
      <c r="J628" s="752">
        <v>308</v>
      </c>
      <c r="K628" s="709"/>
      <c r="L628" s="757"/>
    </row>
    <row r="629" spans="1:12" ht="16.5" hidden="1">
      <c r="A629" s="731" t="s">
        <v>221</v>
      </c>
      <c r="B629" s="738" t="s">
        <v>222</v>
      </c>
      <c r="C629" s="764" t="s">
        <v>156</v>
      </c>
      <c r="D629" s="737" t="s">
        <v>172</v>
      </c>
      <c r="E629" s="735">
        <v>12</v>
      </c>
      <c r="F629" s="736" t="s">
        <v>19</v>
      </c>
      <c r="G629" s="727">
        <f>ROUND('r.czarna'!J18,2)</f>
        <v>1045.1600000000001</v>
      </c>
      <c r="H629" s="704" t="s">
        <v>45</v>
      </c>
      <c r="I629" s="736" t="s">
        <v>223</v>
      </c>
      <c r="J629" s="752">
        <v>566</v>
      </c>
      <c r="K629" s="709"/>
      <c r="L629" s="757"/>
    </row>
    <row r="630" spans="1:12" ht="16.5" hidden="1">
      <c r="A630" s="731" t="s">
        <v>221</v>
      </c>
      <c r="B630" s="738" t="s">
        <v>222</v>
      </c>
      <c r="C630" s="764" t="s">
        <v>158</v>
      </c>
      <c r="D630" s="737" t="s">
        <v>175</v>
      </c>
      <c r="E630" s="735">
        <v>14</v>
      </c>
      <c r="F630" s="736" t="s">
        <v>19</v>
      </c>
      <c r="G630" s="727">
        <f>ROUND('r.czarna'!J19,2)</f>
        <v>1545.16</v>
      </c>
      <c r="H630" s="704" t="s">
        <v>45</v>
      </c>
      <c r="I630" s="736" t="s">
        <v>223</v>
      </c>
      <c r="J630" s="752">
        <v>833</v>
      </c>
      <c r="K630" s="709"/>
      <c r="L630" s="757"/>
    </row>
    <row r="631" spans="1:12" ht="16.5" hidden="1">
      <c r="A631" s="731" t="s">
        <v>221</v>
      </c>
      <c r="B631" s="738" t="s">
        <v>222</v>
      </c>
      <c r="C631" s="764" t="s">
        <v>176</v>
      </c>
      <c r="D631" s="737" t="s">
        <v>177</v>
      </c>
      <c r="E631" s="735">
        <v>16</v>
      </c>
      <c r="F631" s="736" t="s">
        <v>19</v>
      </c>
      <c r="G631" s="727">
        <f>ROUND('r.czarna'!J20,2)</f>
        <v>1688.82</v>
      </c>
      <c r="H631" s="704" t="s">
        <v>45</v>
      </c>
      <c r="I631" s="736" t="s">
        <v>223</v>
      </c>
      <c r="J631" s="752">
        <v>1000</v>
      </c>
      <c r="K631" s="709"/>
      <c r="L631" s="757"/>
    </row>
    <row r="632" spans="1:12" ht="16.5" hidden="1">
      <c r="A632" s="731" t="s">
        <v>221</v>
      </c>
      <c r="B632" s="738" t="s">
        <v>222</v>
      </c>
      <c r="C632" s="764" t="s">
        <v>178</v>
      </c>
      <c r="D632" s="734" t="s">
        <v>179</v>
      </c>
      <c r="E632" s="735">
        <v>20</v>
      </c>
      <c r="F632" s="736" t="s">
        <v>19</v>
      </c>
      <c r="G632" s="727">
        <f>ROUND('r.czarna'!J21,2)</f>
        <v>3159.72</v>
      </c>
      <c r="H632" s="704" t="s">
        <v>45</v>
      </c>
      <c r="I632" s="736" t="s">
        <v>223</v>
      </c>
      <c r="J632" s="738"/>
      <c r="K632" s="709"/>
      <c r="L632" s="757"/>
    </row>
    <row r="633" spans="1:12" ht="16.5" hidden="1">
      <c r="A633" s="731" t="s">
        <v>221</v>
      </c>
      <c r="B633" s="738" t="s">
        <v>222</v>
      </c>
      <c r="C633" s="764" t="s">
        <v>190</v>
      </c>
      <c r="D633" s="734" t="s">
        <v>191</v>
      </c>
      <c r="E633" s="735">
        <v>24</v>
      </c>
      <c r="F633" s="736" t="s">
        <v>19</v>
      </c>
      <c r="G633" s="727">
        <f>ROUND('r.czarna'!J22,2)</f>
        <v>0</v>
      </c>
      <c r="H633" s="704" t="s">
        <v>45</v>
      </c>
      <c r="I633" s="736" t="s">
        <v>223</v>
      </c>
      <c r="J633" s="738"/>
      <c r="K633" s="709"/>
      <c r="L633" s="757"/>
    </row>
    <row r="634" spans="1:12" ht="16.5" hidden="1">
      <c r="A634" s="731" t="s">
        <v>221</v>
      </c>
      <c r="B634" s="690"/>
      <c r="C634" s="691"/>
      <c r="D634" s="691"/>
      <c r="E634" s="746"/>
      <c r="F634" s="759"/>
      <c r="G634" s="749"/>
      <c r="H634" s="760"/>
      <c r="I634" s="746"/>
      <c r="J634" s="746"/>
      <c r="K634" s="709"/>
      <c r="L634" s="757"/>
    </row>
    <row r="635" spans="1:12" ht="16.5" hidden="1">
      <c r="A635" s="731" t="s">
        <v>221</v>
      </c>
      <c r="B635" s="738" t="s">
        <v>222</v>
      </c>
      <c r="C635" s="764" t="s">
        <v>47</v>
      </c>
      <c r="D635" s="705" t="s">
        <v>99</v>
      </c>
      <c r="E635" s="744">
        <v>0.5</v>
      </c>
      <c r="F635" s="736" t="s">
        <v>19</v>
      </c>
      <c r="G635" s="727">
        <f>ROUND('r.czarna'!M5,2)</f>
        <v>32.1</v>
      </c>
      <c r="H635" s="704" t="s">
        <v>45</v>
      </c>
      <c r="I635" s="736" t="s">
        <v>224</v>
      </c>
      <c r="J635" s="752">
        <v>66</v>
      </c>
      <c r="K635" s="709"/>
      <c r="L635" s="757"/>
    </row>
    <row r="636" spans="1:12" ht="16.5" hidden="1">
      <c r="A636" s="731" t="s">
        <v>221</v>
      </c>
      <c r="B636" s="738" t="s">
        <v>222</v>
      </c>
      <c r="C636" s="764" t="s">
        <v>49</v>
      </c>
      <c r="D636" s="705" t="s">
        <v>104</v>
      </c>
      <c r="E636" s="744">
        <v>0.75</v>
      </c>
      <c r="F636" s="736" t="s">
        <v>19</v>
      </c>
      <c r="G636" s="727">
        <f>ROUND('r.czarna'!M6,2)</f>
        <v>36.549999999999997</v>
      </c>
      <c r="H636" s="704" t="s">
        <v>45</v>
      </c>
      <c r="I636" s="736" t="s">
        <v>224</v>
      </c>
      <c r="J636" s="752">
        <v>74</v>
      </c>
      <c r="K636" s="709"/>
      <c r="L636" s="757"/>
    </row>
    <row r="637" spans="1:12" ht="16.5" hidden="1">
      <c r="A637" s="731" t="s">
        <v>221</v>
      </c>
      <c r="B637" s="738" t="s">
        <v>222</v>
      </c>
      <c r="C637" s="764" t="s">
        <v>51</v>
      </c>
      <c r="D637" s="705" t="s">
        <v>105</v>
      </c>
      <c r="E637" s="744">
        <v>1</v>
      </c>
      <c r="F637" s="736" t="s">
        <v>19</v>
      </c>
      <c r="G637" s="727">
        <f>ROUND('r.czarna'!M7,2)</f>
        <v>48.47</v>
      </c>
      <c r="H637" s="704" t="s">
        <v>45</v>
      </c>
      <c r="I637" s="736" t="s">
        <v>224</v>
      </c>
      <c r="J637" s="752">
        <v>82</v>
      </c>
      <c r="K637" s="709"/>
      <c r="L637" s="757"/>
    </row>
    <row r="638" spans="1:12" ht="16.5" hidden="1">
      <c r="A638" s="731" t="s">
        <v>221</v>
      </c>
      <c r="B638" s="738" t="s">
        <v>222</v>
      </c>
      <c r="C638" s="764" t="s">
        <v>53</v>
      </c>
      <c r="D638" s="705" t="s">
        <v>106</v>
      </c>
      <c r="E638" s="744">
        <v>1.25</v>
      </c>
      <c r="F638" s="736" t="s">
        <v>19</v>
      </c>
      <c r="G638" s="727">
        <f>ROUND('r.czarna'!M8,2)</f>
        <v>55.93</v>
      </c>
      <c r="H638" s="704" t="s">
        <v>45</v>
      </c>
      <c r="I638" s="736" t="s">
        <v>224</v>
      </c>
      <c r="J638" s="752">
        <v>100</v>
      </c>
      <c r="K638" s="709"/>
      <c r="L638" s="757"/>
    </row>
    <row r="639" spans="1:12" ht="16.5" hidden="1">
      <c r="A639" s="731" t="s">
        <v>221</v>
      </c>
      <c r="B639" s="738" t="s">
        <v>222</v>
      </c>
      <c r="C639" s="764" t="s">
        <v>55</v>
      </c>
      <c r="D639" s="705" t="s">
        <v>107</v>
      </c>
      <c r="E639" s="744">
        <v>1.5</v>
      </c>
      <c r="F639" s="736" t="s">
        <v>19</v>
      </c>
      <c r="G639" s="727">
        <f>ROUND('r.czarna'!M9,2)</f>
        <v>64.03</v>
      </c>
      <c r="H639" s="704" t="s">
        <v>45</v>
      </c>
      <c r="I639" s="736" t="s">
        <v>224</v>
      </c>
      <c r="J639" s="752">
        <v>115</v>
      </c>
      <c r="K639" s="709"/>
      <c r="L639" s="757"/>
    </row>
    <row r="640" spans="1:12" ht="16.5" hidden="1">
      <c r="A640" s="731" t="s">
        <v>221</v>
      </c>
      <c r="B640" s="738" t="s">
        <v>222</v>
      </c>
      <c r="C640" s="764" t="s">
        <v>57</v>
      </c>
      <c r="D640" s="705" t="s">
        <v>31</v>
      </c>
      <c r="E640" s="735">
        <v>2</v>
      </c>
      <c r="F640" s="736" t="s">
        <v>19</v>
      </c>
      <c r="G640" s="727">
        <f>ROUND('r.czarna'!M10,2)</f>
        <v>84.42</v>
      </c>
      <c r="H640" s="704" t="s">
        <v>45</v>
      </c>
      <c r="I640" s="736" t="s">
        <v>224</v>
      </c>
      <c r="J640" s="752">
        <v>130</v>
      </c>
      <c r="K640" s="709"/>
      <c r="L640" s="757"/>
    </row>
    <row r="641" spans="1:12" ht="16.5" hidden="1">
      <c r="A641" s="731" t="s">
        <v>221</v>
      </c>
      <c r="B641" s="738" t="s">
        <v>222</v>
      </c>
      <c r="C641" s="764" t="s">
        <v>59</v>
      </c>
      <c r="D641" s="844" t="s">
        <v>33</v>
      </c>
      <c r="E641" s="845" t="s">
        <v>34</v>
      </c>
      <c r="F641" s="736" t="s">
        <v>19</v>
      </c>
      <c r="G641" s="727">
        <f>ROUND('r.czarna'!M11,2)</f>
        <v>100.94</v>
      </c>
      <c r="H641" s="704" t="s">
        <v>45</v>
      </c>
      <c r="I641" s="736" t="s">
        <v>224</v>
      </c>
      <c r="J641" s="752">
        <v>142</v>
      </c>
      <c r="K641" s="709"/>
      <c r="L641" s="757"/>
    </row>
    <row r="642" spans="1:12" ht="16.5" hidden="1">
      <c r="A642" s="731" t="s">
        <v>221</v>
      </c>
      <c r="B642" s="738" t="s">
        <v>222</v>
      </c>
      <c r="C642" s="764" t="s">
        <v>60</v>
      </c>
      <c r="D642" s="700" t="s">
        <v>35</v>
      </c>
      <c r="E642" s="735">
        <v>3</v>
      </c>
      <c r="F642" s="736" t="s">
        <v>19</v>
      </c>
      <c r="G642" s="727">
        <f>ROUND('r.czarna'!M12,2)</f>
        <v>107.62</v>
      </c>
      <c r="H642" s="704" t="s">
        <v>45</v>
      </c>
      <c r="I642" s="736" t="s">
        <v>224</v>
      </c>
      <c r="J642" s="752">
        <v>144</v>
      </c>
      <c r="K642" s="709"/>
      <c r="L642" s="757"/>
    </row>
    <row r="643" spans="1:12" ht="16.5" hidden="1">
      <c r="A643" s="731" t="s">
        <v>221</v>
      </c>
      <c r="B643" s="738" t="s">
        <v>222</v>
      </c>
      <c r="C643" s="764" t="s">
        <v>62</v>
      </c>
      <c r="D643" s="844" t="s">
        <v>37</v>
      </c>
      <c r="E643" s="735">
        <v>4</v>
      </c>
      <c r="F643" s="736" t="s">
        <v>19</v>
      </c>
      <c r="G643" s="727">
        <f>ROUND('r.czarna'!M13,2)</f>
        <v>174.7</v>
      </c>
      <c r="H643" s="704" t="s">
        <v>45</v>
      </c>
      <c r="I643" s="736" t="s">
        <v>224</v>
      </c>
      <c r="J643" s="752">
        <v>160</v>
      </c>
      <c r="K643" s="709"/>
      <c r="L643" s="757"/>
    </row>
    <row r="644" spans="1:12" ht="16.5" hidden="1">
      <c r="A644" s="731" t="s">
        <v>221</v>
      </c>
      <c r="B644" s="738" t="s">
        <v>222</v>
      </c>
      <c r="C644" s="764" t="s">
        <v>63</v>
      </c>
      <c r="D644" s="737" t="s">
        <v>168</v>
      </c>
      <c r="E644" s="735">
        <v>5</v>
      </c>
      <c r="F644" s="736" t="s">
        <v>19</v>
      </c>
      <c r="G644" s="727">
        <f>ROUND('r.czarna'!M14,2)</f>
        <v>306.06</v>
      </c>
      <c r="H644" s="704" t="s">
        <v>45</v>
      </c>
      <c r="I644" s="736" t="s">
        <v>224</v>
      </c>
      <c r="J644" s="752">
        <v>177</v>
      </c>
      <c r="K644" s="709"/>
      <c r="L644" s="757"/>
    </row>
    <row r="645" spans="1:12" ht="16.5" hidden="1">
      <c r="A645" s="731" t="s">
        <v>221</v>
      </c>
      <c r="B645" s="738" t="s">
        <v>222</v>
      </c>
      <c r="C645" s="764" t="s">
        <v>66</v>
      </c>
      <c r="D645" s="737" t="s">
        <v>169</v>
      </c>
      <c r="E645" s="735">
        <v>6</v>
      </c>
      <c r="F645" s="736" t="s">
        <v>19</v>
      </c>
      <c r="G645" s="727">
        <f>ROUND('r.czarna'!M15,2)</f>
        <v>346.31</v>
      </c>
      <c r="H645" s="704" t="s">
        <v>45</v>
      </c>
      <c r="I645" s="736" t="s">
        <v>224</v>
      </c>
      <c r="J645" s="752">
        <v>221</v>
      </c>
      <c r="K645" s="709"/>
      <c r="L645" s="757"/>
    </row>
    <row r="646" spans="1:12" ht="16.5" hidden="1">
      <c r="A646" s="731" t="s">
        <v>221</v>
      </c>
      <c r="B646" s="738" t="s">
        <v>222</v>
      </c>
      <c r="C646" s="764" t="s">
        <v>121</v>
      </c>
      <c r="D646" s="737" t="s">
        <v>170</v>
      </c>
      <c r="E646" s="735">
        <v>8</v>
      </c>
      <c r="F646" s="736" t="s">
        <v>19</v>
      </c>
      <c r="G646" s="727">
        <f>ROUND('r.czarna'!M16,2)</f>
        <v>512.14</v>
      </c>
      <c r="H646" s="704" t="s">
        <v>45</v>
      </c>
      <c r="I646" s="736" t="s">
        <v>224</v>
      </c>
      <c r="J646" s="752">
        <v>264</v>
      </c>
      <c r="K646" s="709"/>
      <c r="L646" s="757"/>
    </row>
    <row r="647" spans="1:12" ht="16.5" hidden="1">
      <c r="A647" s="731" t="s">
        <v>221</v>
      </c>
      <c r="B647" s="738" t="s">
        <v>222</v>
      </c>
      <c r="C647" s="764" t="s">
        <v>122</v>
      </c>
      <c r="D647" s="737" t="s">
        <v>171</v>
      </c>
      <c r="E647" s="735">
        <v>10</v>
      </c>
      <c r="F647" s="736" t="s">
        <v>19</v>
      </c>
      <c r="G647" s="727">
        <f>ROUND('r.czarna'!M17,2)</f>
        <v>715.99</v>
      </c>
      <c r="H647" s="704" t="s">
        <v>45</v>
      </c>
      <c r="I647" s="736" t="s">
        <v>224</v>
      </c>
      <c r="J647" s="752">
        <v>308</v>
      </c>
      <c r="K647" s="709"/>
      <c r="L647" s="757"/>
    </row>
    <row r="648" spans="1:12" ht="16.5" hidden="1">
      <c r="A648" s="731" t="s">
        <v>221</v>
      </c>
      <c r="B648" s="738" t="s">
        <v>222</v>
      </c>
      <c r="C648" s="764" t="s">
        <v>156</v>
      </c>
      <c r="D648" s="737" t="s">
        <v>172</v>
      </c>
      <c r="E648" s="735">
        <v>12</v>
      </c>
      <c r="F648" s="736" t="s">
        <v>19</v>
      </c>
      <c r="G648" s="727">
        <f>ROUND('r.czarna'!M18,2)</f>
        <v>902.68</v>
      </c>
      <c r="H648" s="704" t="s">
        <v>45</v>
      </c>
      <c r="I648" s="736" t="s">
        <v>224</v>
      </c>
      <c r="J648" s="752">
        <v>566</v>
      </c>
      <c r="K648" s="709"/>
      <c r="L648" s="757"/>
    </row>
    <row r="649" spans="1:12" ht="16.5" hidden="1">
      <c r="A649" s="731" t="s">
        <v>221</v>
      </c>
      <c r="B649" s="738" t="s">
        <v>222</v>
      </c>
      <c r="C649" s="764" t="s">
        <v>158</v>
      </c>
      <c r="D649" s="737" t="s">
        <v>175</v>
      </c>
      <c r="E649" s="735">
        <v>14</v>
      </c>
      <c r="F649" s="736" t="s">
        <v>19</v>
      </c>
      <c r="G649" s="727">
        <f>ROUND('r.czarna'!M19,2)</f>
        <v>1118.8800000000001</v>
      </c>
      <c r="H649" s="704" t="s">
        <v>45</v>
      </c>
      <c r="I649" s="736" t="s">
        <v>224</v>
      </c>
      <c r="J649" s="752">
        <v>833</v>
      </c>
      <c r="K649" s="709"/>
      <c r="L649" s="757"/>
    </row>
    <row r="650" spans="1:12" ht="16.5" hidden="1">
      <c r="A650" s="731" t="s">
        <v>221</v>
      </c>
      <c r="B650" s="738" t="s">
        <v>222</v>
      </c>
      <c r="C650" s="764" t="s">
        <v>176</v>
      </c>
      <c r="D650" s="737" t="s">
        <v>177</v>
      </c>
      <c r="E650" s="735">
        <v>16</v>
      </c>
      <c r="F650" s="736" t="s">
        <v>19</v>
      </c>
      <c r="G650" s="727">
        <f>ROUND('r.czarna'!M20,2)</f>
        <v>1182.3399999999999</v>
      </c>
      <c r="H650" s="704" t="s">
        <v>45</v>
      </c>
      <c r="I650" s="736" t="s">
        <v>224</v>
      </c>
      <c r="J650" s="752">
        <v>1000</v>
      </c>
      <c r="K650" s="709"/>
      <c r="L650" s="757"/>
    </row>
    <row r="651" spans="1:12" ht="16.5" hidden="1">
      <c r="A651" s="731" t="s">
        <v>221</v>
      </c>
      <c r="B651" s="738" t="s">
        <v>222</v>
      </c>
      <c r="C651" s="764" t="s">
        <v>178</v>
      </c>
      <c r="D651" s="734" t="s">
        <v>179</v>
      </c>
      <c r="E651" s="735">
        <v>20</v>
      </c>
      <c r="F651" s="736" t="s">
        <v>19</v>
      </c>
      <c r="G651" s="727">
        <f>ROUND('r.czarna'!M21,2)</f>
        <v>2284.75</v>
      </c>
      <c r="H651" s="704" t="s">
        <v>45</v>
      </c>
      <c r="I651" s="736" t="s">
        <v>224</v>
      </c>
      <c r="J651" s="738"/>
      <c r="K651" s="709"/>
      <c r="L651" s="757"/>
    </row>
    <row r="652" spans="1:12" ht="16.5" hidden="1">
      <c r="A652" s="731" t="s">
        <v>221</v>
      </c>
      <c r="B652" s="738" t="s">
        <v>222</v>
      </c>
      <c r="C652" s="764" t="s">
        <v>190</v>
      </c>
      <c r="D652" s="734" t="s">
        <v>191</v>
      </c>
      <c r="E652" s="735">
        <v>24</v>
      </c>
      <c r="F652" s="736" t="s">
        <v>19</v>
      </c>
      <c r="G652" s="727">
        <f>ROUND('r.czarna'!M22,2)</f>
        <v>0</v>
      </c>
      <c r="H652" s="704" t="s">
        <v>45</v>
      </c>
      <c r="I652" s="736" t="s">
        <v>224</v>
      </c>
      <c r="J652" s="738"/>
      <c r="K652" s="709"/>
      <c r="L652" s="757"/>
    </row>
    <row r="653" spans="1:12" ht="16.5" hidden="1">
      <c r="A653" s="731" t="s">
        <v>221</v>
      </c>
      <c r="B653" s="690"/>
      <c r="C653" s="691"/>
      <c r="D653" s="691"/>
      <c r="E653" s="746"/>
      <c r="F653" s="759"/>
      <c r="G653" s="749"/>
      <c r="H653" s="760"/>
      <c r="I653" s="746"/>
      <c r="J653" s="746"/>
      <c r="K653" s="709"/>
      <c r="L653" s="757"/>
    </row>
    <row r="654" spans="1:12" ht="16.5" hidden="1">
      <c r="A654" s="731" t="s">
        <v>221</v>
      </c>
      <c r="B654" s="738" t="s">
        <v>222</v>
      </c>
      <c r="C654" s="764" t="s">
        <v>47</v>
      </c>
      <c r="D654" s="705" t="s">
        <v>99</v>
      </c>
      <c r="E654" s="744">
        <v>0.5</v>
      </c>
      <c r="F654" s="736" t="s">
        <v>19</v>
      </c>
      <c r="G654" s="727">
        <f>ROUND('r.czarna'!T5,2)</f>
        <v>66.11</v>
      </c>
      <c r="H654" s="704" t="s">
        <v>45</v>
      </c>
      <c r="I654" s="736" t="s">
        <v>196</v>
      </c>
      <c r="J654" s="752">
        <v>66</v>
      </c>
      <c r="K654" s="709"/>
      <c r="L654" s="757"/>
    </row>
    <row r="655" spans="1:12" ht="16.5" hidden="1">
      <c r="A655" s="731" t="s">
        <v>221</v>
      </c>
      <c r="B655" s="738" t="s">
        <v>222</v>
      </c>
      <c r="C655" s="764" t="s">
        <v>49</v>
      </c>
      <c r="D655" s="705" t="s">
        <v>104</v>
      </c>
      <c r="E655" s="744">
        <v>0.75</v>
      </c>
      <c r="F655" s="736" t="s">
        <v>19</v>
      </c>
      <c r="G655" s="727">
        <f>ROUND('r.czarna'!T6,2)</f>
        <v>72.58</v>
      </c>
      <c r="H655" s="704" t="s">
        <v>45</v>
      </c>
      <c r="I655" s="736" t="s">
        <v>196</v>
      </c>
      <c r="J655" s="752">
        <v>74</v>
      </c>
      <c r="K655" s="709"/>
      <c r="L655" s="757"/>
    </row>
    <row r="656" spans="1:12" ht="16.5" hidden="1">
      <c r="A656" s="731" t="s">
        <v>221</v>
      </c>
      <c r="B656" s="738" t="s">
        <v>222</v>
      </c>
      <c r="C656" s="764" t="s">
        <v>51</v>
      </c>
      <c r="D656" s="705" t="s">
        <v>105</v>
      </c>
      <c r="E656" s="744">
        <v>1</v>
      </c>
      <c r="F656" s="736" t="s">
        <v>19</v>
      </c>
      <c r="G656" s="727">
        <f>ROUND('r.czarna'!T7,2)</f>
        <v>77.73</v>
      </c>
      <c r="H656" s="704" t="s">
        <v>45</v>
      </c>
      <c r="I656" s="736" t="s">
        <v>196</v>
      </c>
      <c r="J656" s="752">
        <v>82</v>
      </c>
      <c r="K656" s="709"/>
      <c r="L656" s="757"/>
    </row>
    <row r="657" spans="1:12" ht="16.5" hidden="1">
      <c r="A657" s="731" t="s">
        <v>221</v>
      </c>
      <c r="B657" s="738" t="s">
        <v>222</v>
      </c>
      <c r="C657" s="764" t="s">
        <v>53</v>
      </c>
      <c r="D657" s="705" t="s">
        <v>106</v>
      </c>
      <c r="E657" s="744">
        <v>1.25</v>
      </c>
      <c r="F657" s="736" t="s">
        <v>19</v>
      </c>
      <c r="G657" s="727">
        <f>ROUND('r.czarna'!T8,2)</f>
        <v>91.61</v>
      </c>
      <c r="H657" s="704" t="s">
        <v>45</v>
      </c>
      <c r="I657" s="736" t="s">
        <v>196</v>
      </c>
      <c r="J657" s="752">
        <v>100</v>
      </c>
      <c r="K657" s="709"/>
      <c r="L657" s="757"/>
    </row>
    <row r="658" spans="1:12" ht="16.5" hidden="1">
      <c r="A658" s="731" t="s">
        <v>221</v>
      </c>
      <c r="B658" s="738" t="s">
        <v>222</v>
      </c>
      <c r="C658" s="764" t="s">
        <v>55</v>
      </c>
      <c r="D658" s="705" t="s">
        <v>107</v>
      </c>
      <c r="E658" s="744">
        <v>1.5</v>
      </c>
      <c r="F658" s="736" t="s">
        <v>19</v>
      </c>
      <c r="G658" s="727">
        <f>ROUND('r.czarna'!T9,2)</f>
        <v>98.32</v>
      </c>
      <c r="H658" s="704" t="s">
        <v>45</v>
      </c>
      <c r="I658" s="736" t="s">
        <v>196</v>
      </c>
      <c r="J658" s="752">
        <v>115</v>
      </c>
      <c r="K658" s="709"/>
      <c r="L658" s="757"/>
    </row>
    <row r="659" spans="1:12" ht="16.5" hidden="1">
      <c r="A659" s="731" t="s">
        <v>221</v>
      </c>
      <c r="B659" s="738" t="s">
        <v>222</v>
      </c>
      <c r="C659" s="764" t="s">
        <v>57</v>
      </c>
      <c r="D659" s="705" t="s">
        <v>31</v>
      </c>
      <c r="E659" s="735">
        <v>2</v>
      </c>
      <c r="F659" s="736" t="s">
        <v>19</v>
      </c>
      <c r="G659" s="727">
        <f>ROUND('r.czarna'!T10,2)</f>
        <v>110.13</v>
      </c>
      <c r="H659" s="704" t="s">
        <v>45</v>
      </c>
      <c r="I659" s="736" t="s">
        <v>196</v>
      </c>
      <c r="J659" s="752">
        <v>130</v>
      </c>
      <c r="K659" s="709"/>
      <c r="L659" s="757"/>
    </row>
    <row r="660" spans="1:12" ht="16.5" hidden="1">
      <c r="A660" s="731" t="s">
        <v>221</v>
      </c>
      <c r="B660" s="738" t="s">
        <v>222</v>
      </c>
      <c r="C660" s="764" t="s">
        <v>59</v>
      </c>
      <c r="D660" s="844" t="s">
        <v>33</v>
      </c>
      <c r="E660" s="845" t="s">
        <v>34</v>
      </c>
      <c r="F660" s="736" t="s">
        <v>19</v>
      </c>
      <c r="G660" s="727">
        <f>ROUND('r.czarna'!T11,2)</f>
        <v>132.54</v>
      </c>
      <c r="H660" s="704" t="s">
        <v>45</v>
      </c>
      <c r="I660" s="736" t="s">
        <v>196</v>
      </c>
      <c r="J660" s="752">
        <v>142</v>
      </c>
      <c r="K660" s="709"/>
      <c r="L660" s="757"/>
    </row>
    <row r="661" spans="1:12" ht="16.5" hidden="1">
      <c r="A661" s="731" t="s">
        <v>221</v>
      </c>
      <c r="B661" s="738" t="s">
        <v>222</v>
      </c>
      <c r="C661" s="764" t="s">
        <v>60</v>
      </c>
      <c r="D661" s="700" t="s">
        <v>35</v>
      </c>
      <c r="E661" s="735">
        <v>3</v>
      </c>
      <c r="F661" s="736" t="s">
        <v>19</v>
      </c>
      <c r="G661" s="727">
        <f>ROUND('r.czarna'!T12,2)</f>
        <v>149.86000000000001</v>
      </c>
      <c r="H661" s="704" t="s">
        <v>45</v>
      </c>
      <c r="I661" s="736" t="s">
        <v>196</v>
      </c>
      <c r="J661" s="752">
        <v>144</v>
      </c>
      <c r="K661" s="709"/>
      <c r="L661" s="757"/>
    </row>
    <row r="662" spans="1:12" ht="16.5" hidden="1">
      <c r="A662" s="731" t="s">
        <v>221</v>
      </c>
      <c r="B662" s="738" t="s">
        <v>222</v>
      </c>
      <c r="C662" s="764" t="s">
        <v>62</v>
      </c>
      <c r="D662" s="844" t="s">
        <v>37</v>
      </c>
      <c r="E662" s="735">
        <v>4</v>
      </c>
      <c r="F662" s="736" t="s">
        <v>19</v>
      </c>
      <c r="G662" s="727">
        <f>ROUND('r.czarna'!T13,2)</f>
        <v>190.96</v>
      </c>
      <c r="H662" s="704" t="s">
        <v>45</v>
      </c>
      <c r="I662" s="736" t="s">
        <v>196</v>
      </c>
      <c r="J662" s="752">
        <v>160</v>
      </c>
      <c r="K662" s="709"/>
      <c r="L662" s="757"/>
    </row>
    <row r="663" spans="1:12" ht="16.5" hidden="1">
      <c r="A663" s="731" t="s">
        <v>221</v>
      </c>
      <c r="B663" s="738" t="s">
        <v>222</v>
      </c>
      <c r="C663" s="764" t="s">
        <v>63</v>
      </c>
      <c r="D663" s="737" t="s">
        <v>168</v>
      </c>
      <c r="E663" s="735">
        <v>5</v>
      </c>
      <c r="F663" s="736" t="s">
        <v>19</v>
      </c>
      <c r="G663" s="727">
        <f>ROUND('r.czarna'!T14,2)</f>
        <v>295.31</v>
      </c>
      <c r="H663" s="704" t="s">
        <v>45</v>
      </c>
      <c r="I663" s="736" t="s">
        <v>196</v>
      </c>
      <c r="J663" s="752">
        <v>177</v>
      </c>
      <c r="K663" s="709"/>
      <c r="L663" s="757"/>
    </row>
    <row r="664" spans="1:12" ht="16.5" hidden="1">
      <c r="A664" s="731" t="s">
        <v>221</v>
      </c>
      <c r="B664" s="738" t="s">
        <v>222</v>
      </c>
      <c r="C664" s="764" t="s">
        <v>66</v>
      </c>
      <c r="D664" s="737" t="s">
        <v>169</v>
      </c>
      <c r="E664" s="735">
        <v>6</v>
      </c>
      <c r="F664" s="736" t="s">
        <v>19</v>
      </c>
      <c r="G664" s="727">
        <f>ROUND('r.czarna'!T15,2)</f>
        <v>381.73</v>
      </c>
      <c r="H664" s="704" t="s">
        <v>45</v>
      </c>
      <c r="I664" s="736" t="s">
        <v>196</v>
      </c>
      <c r="J664" s="752">
        <v>221</v>
      </c>
      <c r="K664" s="709"/>
      <c r="L664" s="757"/>
    </row>
    <row r="665" spans="1:12" ht="16.5" hidden="1">
      <c r="A665" s="731" t="s">
        <v>221</v>
      </c>
      <c r="B665" s="738" t="s">
        <v>222</v>
      </c>
      <c r="C665" s="764" t="s">
        <v>121</v>
      </c>
      <c r="D665" s="737" t="s">
        <v>170</v>
      </c>
      <c r="E665" s="735">
        <v>8</v>
      </c>
      <c r="F665" s="736" t="s">
        <v>19</v>
      </c>
      <c r="G665" s="727">
        <f>ROUND('r.czarna'!M16,2)</f>
        <v>512.14</v>
      </c>
      <c r="H665" s="704" t="s">
        <v>45</v>
      </c>
      <c r="I665" s="736" t="s">
        <v>196</v>
      </c>
      <c r="J665" s="752">
        <v>264</v>
      </c>
      <c r="K665" s="709"/>
      <c r="L665" s="757"/>
    </row>
    <row r="666" spans="1:12" ht="16.5" hidden="1">
      <c r="A666" s="731" t="s">
        <v>221</v>
      </c>
      <c r="B666" s="738" t="s">
        <v>222</v>
      </c>
      <c r="C666" s="764" t="s">
        <v>122</v>
      </c>
      <c r="D666" s="737" t="s">
        <v>171</v>
      </c>
      <c r="E666" s="735">
        <v>10</v>
      </c>
      <c r="F666" s="736" t="s">
        <v>19</v>
      </c>
      <c r="G666" s="727">
        <f>ROUND('r.czarna'!M17,2)</f>
        <v>715.99</v>
      </c>
      <c r="H666" s="704" t="s">
        <v>45</v>
      </c>
      <c r="I666" s="736" t="s">
        <v>196</v>
      </c>
      <c r="J666" s="752">
        <v>308</v>
      </c>
      <c r="K666" s="709"/>
      <c r="L666" s="757"/>
    </row>
    <row r="667" spans="1:12" ht="16.5" hidden="1">
      <c r="A667" s="731" t="s">
        <v>221</v>
      </c>
      <c r="B667" s="738" t="s">
        <v>222</v>
      </c>
      <c r="C667" s="764" t="s">
        <v>156</v>
      </c>
      <c r="D667" s="737" t="s">
        <v>172</v>
      </c>
      <c r="E667" s="735">
        <v>12</v>
      </c>
      <c r="F667" s="736" t="s">
        <v>19</v>
      </c>
      <c r="G667" s="727">
        <f>ROUND('r.czarna'!M18,2)</f>
        <v>902.68</v>
      </c>
      <c r="H667" s="704" t="s">
        <v>45</v>
      </c>
      <c r="I667" s="736" t="s">
        <v>196</v>
      </c>
      <c r="J667" s="752">
        <v>566</v>
      </c>
      <c r="K667" s="709"/>
      <c r="L667" s="757"/>
    </row>
    <row r="668" spans="1:12" ht="16.5" hidden="1">
      <c r="A668" s="731" t="s">
        <v>221</v>
      </c>
      <c r="B668" s="738" t="s">
        <v>222</v>
      </c>
      <c r="C668" s="764" t="s">
        <v>158</v>
      </c>
      <c r="D668" s="737" t="s">
        <v>175</v>
      </c>
      <c r="E668" s="735">
        <v>14</v>
      </c>
      <c r="F668" s="736" t="s">
        <v>19</v>
      </c>
      <c r="G668" s="727">
        <f>ROUND('r.czarna'!M19,2)</f>
        <v>1118.8800000000001</v>
      </c>
      <c r="H668" s="704" t="s">
        <v>45</v>
      </c>
      <c r="I668" s="736" t="s">
        <v>196</v>
      </c>
      <c r="J668" s="752">
        <v>833</v>
      </c>
      <c r="K668" s="709"/>
      <c r="L668" s="757"/>
    </row>
    <row r="669" spans="1:12" ht="16.5" hidden="1">
      <c r="A669" s="731" t="s">
        <v>221</v>
      </c>
      <c r="B669" s="738" t="s">
        <v>222</v>
      </c>
      <c r="C669" s="764" t="s">
        <v>176</v>
      </c>
      <c r="D669" s="737" t="s">
        <v>177</v>
      </c>
      <c r="E669" s="735">
        <v>16</v>
      </c>
      <c r="F669" s="736" t="s">
        <v>19</v>
      </c>
      <c r="G669" s="727">
        <f>ROUND('r.czarna'!M20,2)</f>
        <v>1182.3399999999999</v>
      </c>
      <c r="H669" s="704" t="s">
        <v>45</v>
      </c>
      <c r="I669" s="736" t="s">
        <v>196</v>
      </c>
      <c r="J669" s="752">
        <v>1000</v>
      </c>
      <c r="K669" s="709"/>
      <c r="L669" s="757"/>
    </row>
    <row r="670" spans="1:12" ht="16.5" hidden="1">
      <c r="A670" s="731" t="s">
        <v>221</v>
      </c>
      <c r="B670" s="738" t="s">
        <v>222</v>
      </c>
      <c r="C670" s="764" t="s">
        <v>178</v>
      </c>
      <c r="D670" s="734" t="s">
        <v>179</v>
      </c>
      <c r="E670" s="735">
        <v>20</v>
      </c>
      <c r="F670" s="736" t="s">
        <v>19</v>
      </c>
      <c r="G670" s="727">
        <f>ROUND('r.czarna'!M21,2)</f>
        <v>2284.75</v>
      </c>
      <c r="H670" s="704" t="s">
        <v>45</v>
      </c>
      <c r="I670" s="736" t="s">
        <v>196</v>
      </c>
      <c r="J670" s="738"/>
      <c r="K670" s="709"/>
      <c r="L670" s="757"/>
    </row>
    <row r="671" spans="1:12" ht="16.5" hidden="1">
      <c r="A671" s="731" t="s">
        <v>221</v>
      </c>
      <c r="B671" s="738" t="s">
        <v>222</v>
      </c>
      <c r="C671" s="764" t="s">
        <v>190</v>
      </c>
      <c r="D671" s="734" t="s">
        <v>191</v>
      </c>
      <c r="E671" s="735">
        <v>24</v>
      </c>
      <c r="F671" s="736" t="s">
        <v>19</v>
      </c>
      <c r="G671" s="727">
        <f>ROUND('r.czarna'!M22,2)</f>
        <v>0</v>
      </c>
      <c r="H671" s="704" t="s">
        <v>45</v>
      </c>
      <c r="I671" s="736" t="s">
        <v>196</v>
      </c>
      <c r="J671" s="738"/>
      <c r="K671" s="709"/>
      <c r="L671" s="757"/>
    </row>
    <row r="672" spans="1:12" ht="16.5" hidden="1">
      <c r="A672" s="731" t="s">
        <v>221</v>
      </c>
      <c r="B672" s="690"/>
      <c r="C672" s="691"/>
      <c r="D672" s="691"/>
      <c r="E672" s="746"/>
      <c r="F672" s="759"/>
      <c r="G672" s="749"/>
      <c r="H672" s="760"/>
      <c r="I672" s="746"/>
      <c r="J672" s="746"/>
      <c r="K672" s="709"/>
      <c r="L672" s="757"/>
    </row>
    <row r="673" spans="1:12" ht="16.5" hidden="1">
      <c r="A673" s="731" t="s">
        <v>221</v>
      </c>
      <c r="B673" s="738" t="s">
        <v>222</v>
      </c>
      <c r="C673" s="764" t="s">
        <v>47</v>
      </c>
      <c r="D673" s="705" t="s">
        <v>99</v>
      </c>
      <c r="E673" s="744">
        <v>0.5</v>
      </c>
      <c r="F673" s="736" t="s">
        <v>19</v>
      </c>
      <c r="G673" s="727">
        <f>ROUND('r.czarna'!X5,2)</f>
        <v>38.54</v>
      </c>
      <c r="H673" s="704" t="s">
        <v>45</v>
      </c>
      <c r="I673" s="736" t="s">
        <v>225</v>
      </c>
      <c r="J673" s="752">
        <v>66</v>
      </c>
      <c r="K673" s="709"/>
      <c r="L673" s="757"/>
    </row>
    <row r="674" spans="1:12" ht="16.5" hidden="1">
      <c r="A674" s="731" t="s">
        <v>221</v>
      </c>
      <c r="B674" s="738" t="s">
        <v>222</v>
      </c>
      <c r="C674" s="764" t="s">
        <v>49</v>
      </c>
      <c r="D674" s="705" t="s">
        <v>104</v>
      </c>
      <c r="E674" s="744">
        <v>0.75</v>
      </c>
      <c r="F674" s="736" t="s">
        <v>19</v>
      </c>
      <c r="G674" s="727">
        <f>ROUND('r.czarna'!X6,2)</f>
        <v>42.91</v>
      </c>
      <c r="H674" s="704" t="s">
        <v>45</v>
      </c>
      <c r="I674" s="736" t="s">
        <v>225</v>
      </c>
      <c r="J674" s="752">
        <v>74</v>
      </c>
      <c r="K674" s="709"/>
      <c r="L674" s="757"/>
    </row>
    <row r="675" spans="1:12" ht="16.5" hidden="1">
      <c r="A675" s="731" t="s">
        <v>221</v>
      </c>
      <c r="B675" s="738" t="s">
        <v>222</v>
      </c>
      <c r="C675" s="764" t="s">
        <v>51</v>
      </c>
      <c r="D675" s="705" t="s">
        <v>105</v>
      </c>
      <c r="E675" s="744">
        <v>1</v>
      </c>
      <c r="F675" s="736" t="s">
        <v>19</v>
      </c>
      <c r="G675" s="727">
        <f>ROUND('r.czarna'!X7,2)</f>
        <v>47.95</v>
      </c>
      <c r="H675" s="704" t="s">
        <v>45</v>
      </c>
      <c r="I675" s="736" t="s">
        <v>225</v>
      </c>
      <c r="J675" s="752">
        <v>82</v>
      </c>
      <c r="K675" s="709"/>
      <c r="L675" s="757"/>
    </row>
    <row r="676" spans="1:12" ht="16.5" hidden="1">
      <c r="A676" s="731" t="s">
        <v>221</v>
      </c>
      <c r="B676" s="738" t="s">
        <v>222</v>
      </c>
      <c r="C676" s="764" t="s">
        <v>53</v>
      </c>
      <c r="D676" s="705" t="s">
        <v>106</v>
      </c>
      <c r="E676" s="744">
        <v>1.25</v>
      </c>
      <c r="F676" s="736" t="s">
        <v>19</v>
      </c>
      <c r="G676" s="727">
        <f>ROUND('r.czarna'!X8,2)</f>
        <v>60.57</v>
      </c>
      <c r="H676" s="704" t="s">
        <v>45</v>
      </c>
      <c r="I676" s="736" t="s">
        <v>225</v>
      </c>
      <c r="J676" s="752">
        <v>100</v>
      </c>
      <c r="K676" s="709"/>
      <c r="L676" s="757"/>
    </row>
    <row r="677" spans="1:12" ht="16.5" hidden="1">
      <c r="A677" s="731" t="s">
        <v>221</v>
      </c>
      <c r="B677" s="738" t="s">
        <v>222</v>
      </c>
      <c r="C677" s="764" t="s">
        <v>55</v>
      </c>
      <c r="D677" s="705" t="s">
        <v>107</v>
      </c>
      <c r="E677" s="744">
        <v>1.5</v>
      </c>
      <c r="F677" s="736" t="s">
        <v>19</v>
      </c>
      <c r="G677" s="727">
        <f>ROUND('r.czarna'!X9,2)</f>
        <v>70.88</v>
      </c>
      <c r="H677" s="704" t="s">
        <v>45</v>
      </c>
      <c r="I677" s="736" t="s">
        <v>225</v>
      </c>
      <c r="J677" s="752">
        <v>115</v>
      </c>
      <c r="K677" s="709"/>
      <c r="L677" s="757"/>
    </row>
    <row r="678" spans="1:12" ht="16.5" hidden="1">
      <c r="A678" s="731" t="s">
        <v>221</v>
      </c>
      <c r="B678" s="738" t="s">
        <v>222</v>
      </c>
      <c r="C678" s="764" t="s">
        <v>57</v>
      </c>
      <c r="D678" s="705" t="s">
        <v>31</v>
      </c>
      <c r="E678" s="735">
        <v>2</v>
      </c>
      <c r="F678" s="736" t="s">
        <v>19</v>
      </c>
      <c r="G678" s="727">
        <f>ROUND('r.czarna'!X10,2)</f>
        <v>91.03</v>
      </c>
      <c r="H678" s="704" t="s">
        <v>45</v>
      </c>
      <c r="I678" s="736" t="s">
        <v>225</v>
      </c>
      <c r="J678" s="752">
        <v>130</v>
      </c>
      <c r="K678" s="709"/>
      <c r="L678" s="757"/>
    </row>
    <row r="679" spans="1:12" ht="16.5" hidden="1">
      <c r="A679" s="731" t="s">
        <v>221</v>
      </c>
      <c r="B679" s="738" t="s">
        <v>222</v>
      </c>
      <c r="C679" s="764" t="s">
        <v>59</v>
      </c>
      <c r="D679" s="844" t="s">
        <v>33</v>
      </c>
      <c r="E679" s="845" t="s">
        <v>34</v>
      </c>
      <c r="F679" s="736" t="s">
        <v>19</v>
      </c>
      <c r="G679" s="727">
        <f>ROUND('r.czarna'!X11,2)</f>
        <v>134.05000000000001</v>
      </c>
      <c r="H679" s="704" t="s">
        <v>45</v>
      </c>
      <c r="I679" s="736" t="s">
        <v>225</v>
      </c>
      <c r="J679" s="752">
        <v>142</v>
      </c>
      <c r="K679" s="709"/>
      <c r="L679" s="757"/>
    </row>
    <row r="680" spans="1:12" ht="16.5" hidden="1">
      <c r="A680" s="731" t="s">
        <v>221</v>
      </c>
      <c r="B680" s="738" t="s">
        <v>222</v>
      </c>
      <c r="C680" s="764" t="s">
        <v>60</v>
      </c>
      <c r="D680" s="700" t="s">
        <v>35</v>
      </c>
      <c r="E680" s="735">
        <v>3</v>
      </c>
      <c r="F680" s="736" t="s">
        <v>19</v>
      </c>
      <c r="G680" s="727">
        <f>ROUND('r.czarna'!X12,2)</f>
        <v>160.13999999999999</v>
      </c>
      <c r="H680" s="704" t="s">
        <v>45</v>
      </c>
      <c r="I680" s="736" t="s">
        <v>225</v>
      </c>
      <c r="J680" s="752">
        <v>144</v>
      </c>
      <c r="K680" s="709"/>
      <c r="L680" s="757"/>
    </row>
    <row r="681" spans="1:12" ht="16.5" hidden="1">
      <c r="A681" s="731" t="s">
        <v>221</v>
      </c>
      <c r="B681" s="738" t="s">
        <v>222</v>
      </c>
      <c r="C681" s="764" t="s">
        <v>62</v>
      </c>
      <c r="D681" s="844" t="s">
        <v>37</v>
      </c>
      <c r="E681" s="735">
        <v>4</v>
      </c>
      <c r="F681" s="736" t="s">
        <v>19</v>
      </c>
      <c r="G681" s="727">
        <f>ROUND('r.czarna'!X13,2)</f>
        <v>240.02</v>
      </c>
      <c r="H681" s="704" t="s">
        <v>45</v>
      </c>
      <c r="I681" s="736" t="s">
        <v>225</v>
      </c>
      <c r="J681" s="752">
        <v>160</v>
      </c>
      <c r="K681" s="709"/>
      <c r="L681" s="757"/>
    </row>
    <row r="682" spans="1:12" ht="16.5" hidden="1">
      <c r="A682" s="731" t="s">
        <v>221</v>
      </c>
      <c r="B682" s="738" t="s">
        <v>222</v>
      </c>
      <c r="C682" s="764" t="s">
        <v>63</v>
      </c>
      <c r="D682" s="737" t="s">
        <v>168</v>
      </c>
      <c r="E682" s="735">
        <v>5</v>
      </c>
      <c r="F682" s="736" t="s">
        <v>19</v>
      </c>
      <c r="G682" s="727">
        <f>ROUND('r.czarna'!X14,2)</f>
        <v>235.79</v>
      </c>
      <c r="H682" s="704" t="s">
        <v>45</v>
      </c>
      <c r="I682" s="736" t="s">
        <v>225</v>
      </c>
      <c r="J682" s="752">
        <v>177</v>
      </c>
      <c r="K682" s="709"/>
      <c r="L682" s="757"/>
    </row>
    <row r="683" spans="1:12" ht="16.5" hidden="1">
      <c r="A683" s="731" t="s">
        <v>221</v>
      </c>
      <c r="B683" s="738" t="s">
        <v>222</v>
      </c>
      <c r="C683" s="764" t="s">
        <v>66</v>
      </c>
      <c r="D683" s="737" t="s">
        <v>169</v>
      </c>
      <c r="E683" s="735">
        <v>6</v>
      </c>
      <c r="F683" s="736" t="s">
        <v>19</v>
      </c>
      <c r="G683" s="727">
        <f>ROUND('r.czarna'!X15,2)</f>
        <v>290.2</v>
      </c>
      <c r="H683" s="704" t="s">
        <v>45</v>
      </c>
      <c r="I683" s="736" t="s">
        <v>225</v>
      </c>
      <c r="J683" s="752">
        <v>221</v>
      </c>
      <c r="K683" s="709"/>
      <c r="L683" s="757"/>
    </row>
    <row r="684" spans="1:12" ht="16.5" hidden="1">
      <c r="A684" s="731" t="s">
        <v>221</v>
      </c>
      <c r="B684" s="738" t="s">
        <v>222</v>
      </c>
      <c r="C684" s="764" t="s">
        <v>121</v>
      </c>
      <c r="D684" s="737" t="s">
        <v>170</v>
      </c>
      <c r="E684" s="735">
        <v>8</v>
      </c>
      <c r="F684" s="736" t="s">
        <v>19</v>
      </c>
      <c r="G684" s="727">
        <f>ROUND('r.czarna'!X16,2)</f>
        <v>508.41</v>
      </c>
      <c r="H684" s="704" t="s">
        <v>45</v>
      </c>
      <c r="I684" s="736" t="s">
        <v>225</v>
      </c>
      <c r="J684" s="752">
        <v>264</v>
      </c>
      <c r="K684" s="709"/>
      <c r="L684" s="757"/>
    </row>
    <row r="685" spans="1:12" ht="16.5" hidden="1">
      <c r="A685" s="731" t="s">
        <v>221</v>
      </c>
      <c r="B685" s="738" t="s">
        <v>222</v>
      </c>
      <c r="C685" s="764" t="s">
        <v>122</v>
      </c>
      <c r="D685" s="737" t="s">
        <v>171</v>
      </c>
      <c r="E685" s="735">
        <v>10</v>
      </c>
      <c r="F685" s="736" t="s">
        <v>19</v>
      </c>
      <c r="G685" s="727">
        <f>ROUND('r.czarna'!X17,2)</f>
        <v>714.7</v>
      </c>
      <c r="H685" s="704" t="s">
        <v>45</v>
      </c>
      <c r="I685" s="736" t="s">
        <v>225</v>
      </c>
      <c r="J685" s="752">
        <v>308</v>
      </c>
      <c r="K685" s="709"/>
      <c r="L685" s="757"/>
    </row>
    <row r="686" spans="1:12" ht="16.5" hidden="1">
      <c r="A686" s="731" t="s">
        <v>221</v>
      </c>
      <c r="B686" s="738" t="s">
        <v>222</v>
      </c>
      <c r="C686" s="764" t="s">
        <v>156</v>
      </c>
      <c r="D686" s="737" t="s">
        <v>172</v>
      </c>
      <c r="E686" s="735">
        <v>12</v>
      </c>
      <c r="F686" s="736" t="s">
        <v>19</v>
      </c>
      <c r="G686" s="727">
        <f>ROUND('r.czarna'!X18,2)</f>
        <v>795.57</v>
      </c>
      <c r="H686" s="704" t="s">
        <v>45</v>
      </c>
      <c r="I686" s="736" t="s">
        <v>225</v>
      </c>
      <c r="J686" s="752">
        <v>566</v>
      </c>
      <c r="K686" s="709"/>
      <c r="L686" s="757"/>
    </row>
    <row r="687" spans="1:12" ht="16.5" hidden="1">
      <c r="A687" s="731" t="s">
        <v>221</v>
      </c>
      <c r="B687" s="738" t="s">
        <v>222</v>
      </c>
      <c r="C687" s="764" t="s">
        <v>158</v>
      </c>
      <c r="D687" s="737" t="s">
        <v>175</v>
      </c>
      <c r="E687" s="735">
        <v>14</v>
      </c>
      <c r="F687" s="736" t="s">
        <v>19</v>
      </c>
      <c r="G687" s="727">
        <f>ROUND('r.czarna'!X19,2)</f>
        <v>913.99</v>
      </c>
      <c r="H687" s="704" t="s">
        <v>45</v>
      </c>
      <c r="I687" s="736" t="s">
        <v>225</v>
      </c>
      <c r="J687" s="752">
        <v>833</v>
      </c>
      <c r="K687" s="709"/>
      <c r="L687" s="757"/>
    </row>
    <row r="688" spans="1:12" ht="16.5" hidden="1">
      <c r="A688" s="731" t="s">
        <v>221</v>
      </c>
      <c r="B688" s="738" t="s">
        <v>222</v>
      </c>
      <c r="C688" s="764" t="s">
        <v>176</v>
      </c>
      <c r="D688" s="737" t="s">
        <v>177</v>
      </c>
      <c r="E688" s="735">
        <v>16</v>
      </c>
      <c r="F688" s="736" t="s">
        <v>19</v>
      </c>
      <c r="G688" s="727">
        <f>ROUND('r.czarna'!X20,2)</f>
        <v>0</v>
      </c>
      <c r="H688" s="704" t="s">
        <v>45</v>
      </c>
      <c r="I688" s="736" t="s">
        <v>225</v>
      </c>
      <c r="J688" s="752">
        <v>1000</v>
      </c>
      <c r="K688" s="709"/>
      <c r="L688" s="757"/>
    </row>
    <row r="689" spans="1:12" ht="16.5" hidden="1">
      <c r="A689" s="731" t="s">
        <v>221</v>
      </c>
      <c r="B689" s="738" t="s">
        <v>222</v>
      </c>
      <c r="C689" s="764" t="s">
        <v>178</v>
      </c>
      <c r="D689" s="734" t="s">
        <v>179</v>
      </c>
      <c r="E689" s="735">
        <v>20</v>
      </c>
      <c r="F689" s="736" t="s">
        <v>19</v>
      </c>
      <c r="G689" s="727">
        <f>ROUND('r.czarna'!X21,2)</f>
        <v>0</v>
      </c>
      <c r="H689" s="704" t="s">
        <v>45</v>
      </c>
      <c r="I689" s="736" t="s">
        <v>225</v>
      </c>
      <c r="J689" s="738"/>
      <c r="K689" s="709"/>
      <c r="L689" s="757"/>
    </row>
    <row r="690" spans="1:12" ht="16.5" hidden="1">
      <c r="A690" s="731" t="s">
        <v>221</v>
      </c>
      <c r="B690" s="738" t="s">
        <v>222</v>
      </c>
      <c r="C690" s="764" t="s">
        <v>190</v>
      </c>
      <c r="D690" s="734" t="s">
        <v>191</v>
      </c>
      <c r="E690" s="735">
        <v>24</v>
      </c>
      <c r="F690" s="736" t="s">
        <v>19</v>
      </c>
      <c r="G690" s="727">
        <f>ROUND('r.czarna'!X22,2)</f>
        <v>0</v>
      </c>
      <c r="H690" s="704" t="s">
        <v>45</v>
      </c>
      <c r="I690" s="736" t="s">
        <v>225</v>
      </c>
      <c r="J690" s="738"/>
      <c r="K690" s="709"/>
      <c r="L690" s="757"/>
    </row>
    <row r="691" spans="1:12" ht="16.5" hidden="1">
      <c r="A691" s="731" t="s">
        <v>221</v>
      </c>
      <c r="B691" s="690"/>
      <c r="C691" s="691"/>
      <c r="D691" s="691"/>
      <c r="E691" s="746"/>
      <c r="F691" s="759"/>
      <c r="G691" s="749"/>
      <c r="H691" s="760"/>
      <c r="I691" s="746"/>
      <c r="J691" s="746"/>
      <c r="K691" s="709"/>
      <c r="L691" s="757"/>
    </row>
    <row r="692" spans="1:12" ht="16.5" hidden="1">
      <c r="A692" s="731" t="s">
        <v>221</v>
      </c>
      <c r="B692" s="738" t="s">
        <v>226</v>
      </c>
      <c r="C692" s="764" t="s">
        <v>47</v>
      </c>
      <c r="D692" s="705" t="s">
        <v>99</v>
      </c>
      <c r="E692" s="744">
        <v>0.5</v>
      </c>
      <c r="F692" s="736" t="s">
        <v>19</v>
      </c>
      <c r="G692" s="727">
        <f>ROUND('r.czarna'!F29,2)</f>
        <v>21.89</v>
      </c>
      <c r="H692" s="704" t="s">
        <v>45</v>
      </c>
      <c r="I692" s="736"/>
      <c r="J692" s="752">
        <v>66</v>
      </c>
      <c r="K692" s="709"/>
      <c r="L692" s="757"/>
    </row>
    <row r="693" spans="1:12" ht="16.5" hidden="1">
      <c r="A693" s="731" t="s">
        <v>221</v>
      </c>
      <c r="B693" s="738" t="s">
        <v>226</v>
      </c>
      <c r="C693" s="764" t="s">
        <v>49</v>
      </c>
      <c r="D693" s="705" t="s">
        <v>104</v>
      </c>
      <c r="E693" s="744">
        <v>0.75</v>
      </c>
      <c r="F693" s="736" t="s">
        <v>19</v>
      </c>
      <c r="G693" s="727">
        <f>ROUND('r.czarna'!F30,2)</f>
        <v>25.25</v>
      </c>
      <c r="H693" s="704" t="s">
        <v>45</v>
      </c>
      <c r="I693" s="736"/>
      <c r="J693" s="752">
        <v>74</v>
      </c>
      <c r="K693" s="709"/>
      <c r="L693" s="757"/>
    </row>
    <row r="694" spans="1:12" ht="16.5" hidden="1">
      <c r="A694" s="731" t="s">
        <v>221</v>
      </c>
      <c r="B694" s="738" t="s">
        <v>226</v>
      </c>
      <c r="C694" s="764" t="s">
        <v>51</v>
      </c>
      <c r="D694" s="705" t="s">
        <v>105</v>
      </c>
      <c r="E694" s="744">
        <v>1</v>
      </c>
      <c r="F694" s="736" t="s">
        <v>19</v>
      </c>
      <c r="G694" s="727">
        <f>ROUND('r.czarna'!F31,2)</f>
        <v>30.73</v>
      </c>
      <c r="H694" s="704" t="s">
        <v>45</v>
      </c>
      <c r="I694" s="736"/>
      <c r="J694" s="752">
        <v>82</v>
      </c>
      <c r="K694" s="709"/>
      <c r="L694" s="757"/>
    </row>
    <row r="695" spans="1:12" ht="16.5" hidden="1">
      <c r="A695" s="731" t="s">
        <v>221</v>
      </c>
      <c r="B695" s="738" t="s">
        <v>226</v>
      </c>
      <c r="C695" s="764" t="s">
        <v>53</v>
      </c>
      <c r="D695" s="705" t="s">
        <v>106</v>
      </c>
      <c r="E695" s="744">
        <v>1.25</v>
      </c>
      <c r="F695" s="736" t="s">
        <v>19</v>
      </c>
      <c r="G695" s="727">
        <f>ROUND('r.czarna'!F32,2)</f>
        <v>37.229999999999997</v>
      </c>
      <c r="H695" s="704" t="s">
        <v>45</v>
      </c>
      <c r="I695" s="736"/>
      <c r="J695" s="752">
        <v>100</v>
      </c>
      <c r="K695" s="709"/>
      <c r="L695" s="757"/>
    </row>
    <row r="696" spans="1:12" ht="16.5" hidden="1">
      <c r="A696" s="731" t="s">
        <v>221</v>
      </c>
      <c r="B696" s="738" t="s">
        <v>226</v>
      </c>
      <c r="C696" s="764" t="s">
        <v>55</v>
      </c>
      <c r="D696" s="705" t="s">
        <v>107</v>
      </c>
      <c r="E696" s="744">
        <v>1.5</v>
      </c>
      <c r="F696" s="736" t="s">
        <v>19</v>
      </c>
      <c r="G696" s="727">
        <f>ROUND('r.czarna'!F33,2)</f>
        <v>40.82</v>
      </c>
      <c r="H696" s="704" t="s">
        <v>45</v>
      </c>
      <c r="I696" s="736"/>
      <c r="J696" s="752">
        <v>115</v>
      </c>
      <c r="K696" s="709"/>
      <c r="L696" s="757"/>
    </row>
    <row r="697" spans="1:12" ht="16.5" hidden="1">
      <c r="A697" s="731" t="s">
        <v>221</v>
      </c>
      <c r="B697" s="738" t="s">
        <v>226</v>
      </c>
      <c r="C697" s="764" t="s">
        <v>57</v>
      </c>
      <c r="D697" s="705" t="s">
        <v>31</v>
      </c>
      <c r="E697" s="735">
        <v>2</v>
      </c>
      <c r="F697" s="736" t="s">
        <v>19</v>
      </c>
      <c r="G697" s="727">
        <f>ROUND('r.czarna'!F34,2)</f>
        <v>52.95</v>
      </c>
      <c r="H697" s="704" t="s">
        <v>45</v>
      </c>
      <c r="I697" s="736"/>
      <c r="J697" s="752">
        <v>130</v>
      </c>
      <c r="K697" s="709"/>
      <c r="L697" s="757"/>
    </row>
    <row r="698" spans="1:12" ht="16.5" hidden="1">
      <c r="A698" s="731" t="s">
        <v>221</v>
      </c>
      <c r="B698" s="738" t="s">
        <v>226</v>
      </c>
      <c r="C698" s="764" t="s">
        <v>59</v>
      </c>
      <c r="D698" s="844" t="s">
        <v>33</v>
      </c>
      <c r="E698" s="845" t="s">
        <v>34</v>
      </c>
      <c r="F698" s="736" t="s">
        <v>19</v>
      </c>
      <c r="G698" s="727">
        <f>ROUND('r.czarna'!F35,2)</f>
        <v>64.92</v>
      </c>
      <c r="H698" s="704" t="s">
        <v>45</v>
      </c>
      <c r="I698" s="736"/>
      <c r="J698" s="752">
        <v>142</v>
      </c>
      <c r="K698" s="709"/>
      <c r="L698" s="757"/>
    </row>
    <row r="699" spans="1:12" ht="16.5" hidden="1">
      <c r="A699" s="731" t="s">
        <v>221</v>
      </c>
      <c r="B699" s="738" t="s">
        <v>226</v>
      </c>
      <c r="C699" s="764" t="s">
        <v>60</v>
      </c>
      <c r="D699" s="700" t="s">
        <v>35</v>
      </c>
      <c r="E699" s="735">
        <v>3</v>
      </c>
      <c r="F699" s="736" t="s">
        <v>19</v>
      </c>
      <c r="G699" s="727">
        <f>ROUND('r.czarna'!F36,2)</f>
        <v>79.59</v>
      </c>
      <c r="H699" s="704" t="s">
        <v>45</v>
      </c>
      <c r="I699" s="736"/>
      <c r="J699" s="752">
        <v>144</v>
      </c>
      <c r="K699" s="709"/>
      <c r="L699" s="757"/>
    </row>
    <row r="700" spans="1:12" ht="16.5" hidden="1">
      <c r="A700" s="731" t="s">
        <v>221</v>
      </c>
      <c r="B700" s="738" t="s">
        <v>226</v>
      </c>
      <c r="C700" s="764" t="s">
        <v>62</v>
      </c>
      <c r="D700" s="844" t="s">
        <v>37</v>
      </c>
      <c r="E700" s="735">
        <v>4</v>
      </c>
      <c r="F700" s="736" t="s">
        <v>19</v>
      </c>
      <c r="G700" s="727">
        <f>ROUND('r.czarna'!F37,2)</f>
        <v>118.97</v>
      </c>
      <c r="H700" s="704" t="s">
        <v>45</v>
      </c>
      <c r="I700" s="736"/>
      <c r="J700" s="752">
        <v>160</v>
      </c>
      <c r="K700" s="709"/>
      <c r="L700" s="757"/>
    </row>
    <row r="701" spans="1:12" ht="16.5" hidden="1">
      <c r="A701" s="731" t="s">
        <v>221</v>
      </c>
      <c r="B701" s="738" t="s">
        <v>226</v>
      </c>
      <c r="C701" s="764" t="s">
        <v>63</v>
      </c>
      <c r="D701" s="737" t="s">
        <v>168</v>
      </c>
      <c r="E701" s="735">
        <v>5</v>
      </c>
      <c r="F701" s="736" t="s">
        <v>19</v>
      </c>
      <c r="G701" s="727">
        <f>ROUND('r.czarna'!F38,2)</f>
        <v>175.72</v>
      </c>
      <c r="H701" s="704" t="s">
        <v>45</v>
      </c>
      <c r="I701" s="736"/>
      <c r="J701" s="752">
        <v>177</v>
      </c>
      <c r="K701" s="709"/>
      <c r="L701" s="757"/>
    </row>
    <row r="702" spans="1:12" ht="16.5" hidden="1">
      <c r="A702" s="731" t="s">
        <v>221</v>
      </c>
      <c r="B702" s="738" t="s">
        <v>226</v>
      </c>
      <c r="C702" s="764" t="s">
        <v>66</v>
      </c>
      <c r="D702" s="737" t="s">
        <v>169</v>
      </c>
      <c r="E702" s="735">
        <v>6</v>
      </c>
      <c r="F702" s="736" t="s">
        <v>19</v>
      </c>
      <c r="G702" s="727">
        <f>ROUND('r.czarna'!F39,2)</f>
        <v>212.09</v>
      </c>
      <c r="H702" s="704" t="s">
        <v>45</v>
      </c>
      <c r="I702" s="736"/>
      <c r="J702" s="752">
        <v>221</v>
      </c>
      <c r="K702" s="709"/>
      <c r="L702" s="757"/>
    </row>
    <row r="703" spans="1:12" ht="16.5" hidden="1">
      <c r="A703" s="731" t="s">
        <v>221</v>
      </c>
      <c r="B703" s="738" t="s">
        <v>226</v>
      </c>
      <c r="C703" s="764" t="s">
        <v>121</v>
      </c>
      <c r="D703" s="737" t="s">
        <v>170</v>
      </c>
      <c r="E703" s="735">
        <v>8</v>
      </c>
      <c r="F703" s="736" t="s">
        <v>19</v>
      </c>
      <c r="G703" s="727">
        <f>ROUND('r.czarna'!F40,2)</f>
        <v>253.46</v>
      </c>
      <c r="H703" s="704" t="s">
        <v>45</v>
      </c>
      <c r="I703" s="736"/>
      <c r="J703" s="752">
        <v>264</v>
      </c>
      <c r="K703" s="709"/>
      <c r="L703" s="757"/>
    </row>
    <row r="704" spans="1:12" ht="16.5" hidden="1">
      <c r="A704" s="731" t="s">
        <v>221</v>
      </c>
      <c r="B704" s="738" t="s">
        <v>226</v>
      </c>
      <c r="C704" s="764" t="s">
        <v>122</v>
      </c>
      <c r="D704" s="737" t="s">
        <v>171</v>
      </c>
      <c r="E704" s="735">
        <v>10</v>
      </c>
      <c r="F704" s="736" t="s">
        <v>19</v>
      </c>
      <c r="G704" s="727">
        <f>ROUND('r.czarna'!F41,2)</f>
        <v>425.57</v>
      </c>
      <c r="H704" s="704" t="s">
        <v>45</v>
      </c>
      <c r="I704" s="736"/>
      <c r="J704" s="752">
        <v>308</v>
      </c>
      <c r="K704" s="709"/>
      <c r="L704" s="757"/>
    </row>
    <row r="705" spans="1:12" ht="16.5" hidden="1">
      <c r="A705" s="731" t="s">
        <v>221</v>
      </c>
      <c r="B705" s="738" t="s">
        <v>226</v>
      </c>
      <c r="C705" s="764" t="s">
        <v>156</v>
      </c>
      <c r="D705" s="737" t="s">
        <v>172</v>
      </c>
      <c r="E705" s="735">
        <v>12</v>
      </c>
      <c r="F705" s="736" t="s">
        <v>19</v>
      </c>
      <c r="G705" s="727">
        <f>ROUND('r.czarna'!F42,2)</f>
        <v>493.48</v>
      </c>
      <c r="H705" s="704" t="s">
        <v>45</v>
      </c>
      <c r="I705" s="736"/>
      <c r="J705" s="752">
        <v>566</v>
      </c>
      <c r="K705" s="709"/>
      <c r="L705" s="757"/>
    </row>
    <row r="706" spans="1:12" ht="16.5" hidden="1">
      <c r="A706" s="731" t="s">
        <v>221</v>
      </c>
      <c r="B706" s="738" t="s">
        <v>226</v>
      </c>
      <c r="C706" s="764" t="s">
        <v>158</v>
      </c>
      <c r="D706" s="737" t="s">
        <v>175</v>
      </c>
      <c r="E706" s="735">
        <v>14</v>
      </c>
      <c r="F706" s="736" t="s">
        <v>19</v>
      </c>
      <c r="G706" s="727">
        <f>ROUND('r.czarna'!F43,2)</f>
        <v>638.53</v>
      </c>
      <c r="H706" s="704" t="s">
        <v>45</v>
      </c>
      <c r="I706" s="736"/>
      <c r="J706" s="752">
        <v>833</v>
      </c>
      <c r="K706" s="709"/>
      <c r="L706" s="757"/>
    </row>
    <row r="707" spans="1:12" ht="16.5" hidden="1">
      <c r="A707" s="731" t="s">
        <v>221</v>
      </c>
      <c r="B707" s="738" t="s">
        <v>226</v>
      </c>
      <c r="C707" s="764" t="s">
        <v>176</v>
      </c>
      <c r="D707" s="737" t="s">
        <v>177</v>
      </c>
      <c r="E707" s="735">
        <v>16</v>
      </c>
      <c r="F707" s="736" t="s">
        <v>19</v>
      </c>
      <c r="G707" s="727">
        <f>ROUND('r.czarna'!F44,2)</f>
        <v>874.49</v>
      </c>
      <c r="H707" s="704" t="s">
        <v>45</v>
      </c>
      <c r="I707" s="736"/>
      <c r="J707" s="752">
        <v>1000</v>
      </c>
      <c r="K707" s="709"/>
      <c r="L707" s="757"/>
    </row>
    <row r="708" spans="1:12" ht="16.5" hidden="1">
      <c r="A708" s="731" t="s">
        <v>221</v>
      </c>
      <c r="B708" s="738" t="s">
        <v>226</v>
      </c>
      <c r="C708" s="764" t="s">
        <v>178</v>
      </c>
      <c r="D708" s="734" t="s">
        <v>179</v>
      </c>
      <c r="E708" s="735">
        <v>20</v>
      </c>
      <c r="F708" s="736" t="s">
        <v>19</v>
      </c>
      <c r="G708" s="727">
        <f>ROUND('r.czarna'!F45,2)</f>
        <v>1401.96</v>
      </c>
      <c r="H708" s="704" t="s">
        <v>45</v>
      </c>
      <c r="I708" s="736"/>
      <c r="J708" s="738"/>
      <c r="K708" s="709"/>
      <c r="L708" s="757"/>
    </row>
    <row r="709" spans="1:12" ht="16.5" hidden="1">
      <c r="A709" s="731" t="s">
        <v>221</v>
      </c>
      <c r="B709" s="738" t="s">
        <v>226</v>
      </c>
      <c r="C709" s="764" t="s">
        <v>190</v>
      </c>
      <c r="D709" s="734" t="s">
        <v>191</v>
      </c>
      <c r="E709" s="735">
        <v>24</v>
      </c>
      <c r="F709" s="736" t="s">
        <v>19</v>
      </c>
      <c r="G709" s="727">
        <f>ROUND('r.czarna'!F46,2)</f>
        <v>0</v>
      </c>
      <c r="H709" s="704" t="s">
        <v>45</v>
      </c>
      <c r="I709" s="736"/>
      <c r="J709" s="738"/>
      <c r="K709" s="709"/>
      <c r="L709" s="757"/>
    </row>
    <row r="710" spans="1:12" hidden="1">
      <c r="A710" s="689"/>
      <c r="B710" s="765" t="s">
        <v>227</v>
      </c>
      <c r="C710" s="766"/>
      <c r="D710" s="755"/>
      <c r="E710" s="692"/>
      <c r="F710" s="693"/>
      <c r="G710" s="723"/>
      <c r="H710" s="695"/>
      <c r="I710" s="693"/>
      <c r="J710" s="690"/>
      <c r="K710" s="709"/>
      <c r="L710" s="757"/>
    </row>
    <row r="711" spans="1:12" hidden="1">
      <c r="A711" s="689" t="s">
        <v>228</v>
      </c>
      <c r="B711" s="761" t="s">
        <v>227</v>
      </c>
      <c r="C711" s="764" t="s">
        <v>47</v>
      </c>
      <c r="D711" s="705" t="s">
        <v>99</v>
      </c>
      <c r="E711" s="744">
        <v>0.5</v>
      </c>
      <c r="F711" s="736" t="s">
        <v>19</v>
      </c>
      <c r="G711" s="828"/>
      <c r="H711" s="704" t="s">
        <v>229</v>
      </c>
      <c r="I711" s="736"/>
      <c r="J711" s="752">
        <v>55</v>
      </c>
      <c r="K711" s="709"/>
      <c r="L711" s="757"/>
    </row>
    <row r="712" spans="1:12" hidden="1">
      <c r="A712" s="689" t="s">
        <v>228</v>
      </c>
      <c r="B712" s="761" t="s">
        <v>227</v>
      </c>
      <c r="C712" s="764" t="s">
        <v>49</v>
      </c>
      <c r="D712" s="705" t="s">
        <v>104</v>
      </c>
      <c r="E712" s="744">
        <v>0.75</v>
      </c>
      <c r="F712" s="736" t="s">
        <v>19</v>
      </c>
      <c r="G712" s="828">
        <f>ROUND('r.czarna rowk'!R4,2)</f>
        <v>131.5</v>
      </c>
      <c r="H712" s="704" t="s">
        <v>229</v>
      </c>
      <c r="I712" s="736"/>
      <c r="J712" s="752">
        <v>60</v>
      </c>
      <c r="K712" s="709"/>
      <c r="L712" s="757"/>
    </row>
    <row r="713" spans="1:12" hidden="1">
      <c r="A713" s="689" t="s">
        <v>228</v>
      </c>
      <c r="B713" s="761" t="s">
        <v>227</v>
      </c>
      <c r="C713" s="764" t="s">
        <v>51</v>
      </c>
      <c r="D713" s="705" t="s">
        <v>105</v>
      </c>
      <c r="E713" s="744">
        <v>1</v>
      </c>
      <c r="F713" s="736" t="s">
        <v>19</v>
      </c>
      <c r="G713" s="828">
        <f>ROUND('r.czarna rowk'!R5,2)</f>
        <v>139.13</v>
      </c>
      <c r="H713" s="704" t="s">
        <v>229</v>
      </c>
      <c r="I713" s="736"/>
      <c r="J713" s="752">
        <v>65</v>
      </c>
      <c r="K713" s="709"/>
      <c r="L713" s="757"/>
    </row>
    <row r="714" spans="1:12" hidden="1">
      <c r="A714" s="689" t="s">
        <v>228</v>
      </c>
      <c r="B714" s="761" t="s">
        <v>227</v>
      </c>
      <c r="C714" s="764" t="s">
        <v>53</v>
      </c>
      <c r="D714" s="705" t="s">
        <v>106</v>
      </c>
      <c r="E714" s="744">
        <v>1.25</v>
      </c>
      <c r="F714" s="736" t="s">
        <v>19</v>
      </c>
      <c r="G714" s="828">
        <f>ROUND('r.czarna rowk'!R6,2)</f>
        <v>138.6</v>
      </c>
      <c r="H714" s="704" t="s">
        <v>229</v>
      </c>
      <c r="I714" s="736"/>
      <c r="J714" s="752">
        <v>70</v>
      </c>
      <c r="K714" s="709"/>
      <c r="L714" s="757"/>
    </row>
    <row r="715" spans="1:12" hidden="1">
      <c r="A715" s="689" t="s">
        <v>228</v>
      </c>
      <c r="B715" s="761" t="s">
        <v>227</v>
      </c>
      <c r="C715" s="764" t="s">
        <v>55</v>
      </c>
      <c r="D715" s="705" t="s">
        <v>107</v>
      </c>
      <c r="E715" s="744">
        <v>1.5</v>
      </c>
      <c r="F715" s="736" t="s">
        <v>19</v>
      </c>
      <c r="G715" s="828">
        <f>ROUND('r.czarna rowk'!R7,2)</f>
        <v>137.58000000000001</v>
      </c>
      <c r="H715" s="704" t="s">
        <v>229</v>
      </c>
      <c r="I715" s="736"/>
      <c r="J715" s="752">
        <v>75</v>
      </c>
      <c r="K715" s="709"/>
      <c r="L715" s="757"/>
    </row>
    <row r="716" spans="1:12" hidden="1">
      <c r="A716" s="689" t="s">
        <v>228</v>
      </c>
      <c r="B716" s="761" t="s">
        <v>227</v>
      </c>
      <c r="C716" s="764" t="s">
        <v>57</v>
      </c>
      <c r="D716" s="705" t="s">
        <v>31</v>
      </c>
      <c r="E716" s="735">
        <v>2</v>
      </c>
      <c r="F716" s="736" t="s">
        <v>19</v>
      </c>
      <c r="G716" s="828">
        <f>ROUND('r.czarna rowk'!R8,2)</f>
        <v>177.85</v>
      </c>
      <c r="H716" s="704" t="s">
        <v>229</v>
      </c>
      <c r="I716" s="736"/>
      <c r="J716" s="752">
        <v>85</v>
      </c>
      <c r="K716" s="709"/>
      <c r="L716" s="757"/>
    </row>
    <row r="717" spans="1:12" hidden="1">
      <c r="A717" s="689" t="s">
        <v>228</v>
      </c>
      <c r="B717" s="761" t="s">
        <v>227</v>
      </c>
      <c r="C717" s="764" t="s">
        <v>59</v>
      </c>
      <c r="D717" s="844" t="s">
        <v>33</v>
      </c>
      <c r="E717" s="845" t="s">
        <v>34</v>
      </c>
      <c r="F717" s="736" t="s">
        <v>19</v>
      </c>
      <c r="G717" s="828">
        <f>ROUND('r.czarna rowk'!R9,2)</f>
        <v>211.8</v>
      </c>
      <c r="H717" s="704" t="s">
        <v>229</v>
      </c>
      <c r="I717" s="736"/>
      <c r="J717" s="752">
        <v>95</v>
      </c>
      <c r="K717" s="709"/>
      <c r="L717" s="757"/>
    </row>
    <row r="718" spans="1:12" hidden="1">
      <c r="A718" s="689" t="s">
        <v>228</v>
      </c>
      <c r="B718" s="761" t="s">
        <v>227</v>
      </c>
      <c r="C718" s="764" t="s">
        <v>60</v>
      </c>
      <c r="D718" s="700" t="s">
        <v>35</v>
      </c>
      <c r="E718" s="735">
        <v>3</v>
      </c>
      <c r="F718" s="736" t="s">
        <v>19</v>
      </c>
      <c r="G718" s="828">
        <f>ROUND('r.czarna rowk'!R10,2)</f>
        <v>249.48</v>
      </c>
      <c r="H718" s="704" t="s">
        <v>229</v>
      </c>
      <c r="I718" s="736"/>
      <c r="J718" s="752">
        <v>100</v>
      </c>
      <c r="K718" s="709"/>
      <c r="L718" s="757"/>
    </row>
    <row r="719" spans="1:12" hidden="1">
      <c r="A719" s="689" t="s">
        <v>228</v>
      </c>
      <c r="B719" s="761" t="s">
        <v>227</v>
      </c>
      <c r="C719" s="764" t="s">
        <v>62</v>
      </c>
      <c r="D719" s="844" t="s">
        <v>37</v>
      </c>
      <c r="E719" s="735">
        <v>4</v>
      </c>
      <c r="F719" s="736" t="s">
        <v>19</v>
      </c>
      <c r="G719" s="828">
        <f>ROUND('r.czarna rowk'!R11,2)</f>
        <v>358.76</v>
      </c>
      <c r="H719" s="704" t="s">
        <v>229</v>
      </c>
      <c r="I719" s="736"/>
      <c r="J719" s="752">
        <v>110</v>
      </c>
      <c r="K719" s="709"/>
      <c r="L719" s="757"/>
    </row>
    <row r="720" spans="1:12" hidden="1">
      <c r="A720" s="689" t="s">
        <v>228</v>
      </c>
      <c r="B720" s="761" t="s">
        <v>227</v>
      </c>
      <c r="C720" s="764" t="s">
        <v>63</v>
      </c>
      <c r="D720" s="737" t="s">
        <v>168</v>
      </c>
      <c r="E720" s="735">
        <v>5</v>
      </c>
      <c r="F720" s="736" t="s">
        <v>19</v>
      </c>
      <c r="G720" s="828">
        <f>ROUND('r.czarna rowk'!R12,2)</f>
        <v>545.41</v>
      </c>
      <c r="H720" s="704" t="s">
        <v>229</v>
      </c>
      <c r="I720" s="736"/>
      <c r="J720" s="752">
        <v>140</v>
      </c>
      <c r="K720" s="709"/>
      <c r="L720" s="757"/>
    </row>
    <row r="721" spans="1:12" hidden="1">
      <c r="A721" s="689" t="s">
        <v>228</v>
      </c>
      <c r="B721" s="761" t="s">
        <v>227</v>
      </c>
      <c r="C721" s="764" t="s">
        <v>66</v>
      </c>
      <c r="D721" s="737" t="s">
        <v>169</v>
      </c>
      <c r="E721" s="735">
        <v>6</v>
      </c>
      <c r="F721" s="736" t="s">
        <v>19</v>
      </c>
      <c r="G721" s="828">
        <f>ROUND('r.czarna rowk'!R13,2)</f>
        <v>678.56</v>
      </c>
      <c r="H721" s="704" t="s">
        <v>229</v>
      </c>
      <c r="I721" s="736"/>
      <c r="J721" s="752">
        <v>170</v>
      </c>
      <c r="K721" s="709"/>
      <c r="L721" s="757"/>
    </row>
    <row r="722" spans="1:12" hidden="1">
      <c r="A722" s="689" t="s">
        <v>228</v>
      </c>
      <c r="B722" s="761" t="s">
        <v>227</v>
      </c>
      <c r="C722" s="764" t="s">
        <v>121</v>
      </c>
      <c r="D722" s="737" t="s">
        <v>170</v>
      </c>
      <c r="E722" s="735">
        <v>8</v>
      </c>
      <c r="F722" s="736" t="s">
        <v>19</v>
      </c>
      <c r="G722" s="828">
        <f>ROUND('r.czarna rowk'!R14,2)</f>
        <v>971.62</v>
      </c>
      <c r="H722" s="704" t="s">
        <v>229</v>
      </c>
      <c r="I722" s="736"/>
      <c r="J722" s="752">
        <v>220</v>
      </c>
      <c r="K722" s="709"/>
      <c r="L722" s="757"/>
    </row>
    <row r="723" spans="1:12" hidden="1">
      <c r="A723" s="689" t="s">
        <v>228</v>
      </c>
      <c r="B723" s="761" t="s">
        <v>227</v>
      </c>
      <c r="C723" s="764" t="s">
        <v>122</v>
      </c>
      <c r="D723" s="737" t="s">
        <v>171</v>
      </c>
      <c r="E723" s="735">
        <v>10</v>
      </c>
      <c r="F723" s="736" t="s">
        <v>19</v>
      </c>
      <c r="G723" s="828">
        <f>ROUND('r.czarna rowk'!R15,2)</f>
        <v>1450.26</v>
      </c>
      <c r="H723" s="704" t="s">
        <v>229</v>
      </c>
      <c r="I723" s="736"/>
      <c r="J723" s="752">
        <v>280</v>
      </c>
      <c r="K723" s="709"/>
      <c r="L723" s="757"/>
    </row>
    <row r="724" spans="1:12" hidden="1">
      <c r="A724" s="689" t="s">
        <v>228</v>
      </c>
      <c r="B724" s="761" t="s">
        <v>227</v>
      </c>
      <c r="C724" s="764" t="s">
        <v>156</v>
      </c>
      <c r="D724" s="737" t="s">
        <v>172</v>
      </c>
      <c r="E724" s="735">
        <v>12</v>
      </c>
      <c r="F724" s="736" t="s">
        <v>19</v>
      </c>
      <c r="G724" s="828">
        <f>ROUND('r.czarna rowk'!R16,2)</f>
        <v>1893.91</v>
      </c>
      <c r="H724" s="704" t="s">
        <v>229</v>
      </c>
      <c r="I724" s="736"/>
      <c r="J724" s="752">
        <v>320</v>
      </c>
      <c r="K724" s="709"/>
      <c r="L724" s="757"/>
    </row>
    <row r="725" spans="1:12" hidden="1">
      <c r="A725" s="689" t="s">
        <v>228</v>
      </c>
      <c r="B725" s="761" t="s">
        <v>227</v>
      </c>
      <c r="C725" s="764" t="s">
        <v>158</v>
      </c>
      <c r="D725" s="737" t="s">
        <v>175</v>
      </c>
      <c r="E725" s="735">
        <v>14</v>
      </c>
      <c r="F725" s="736" t="s">
        <v>19</v>
      </c>
      <c r="G725" s="828">
        <f>ROUND('r.czarna rowk'!R17,2)</f>
        <v>4077.71</v>
      </c>
      <c r="H725" s="704" t="s">
        <v>229</v>
      </c>
      <c r="I725" s="736"/>
      <c r="J725" s="752">
        <v>650</v>
      </c>
      <c r="K725" s="709"/>
      <c r="L725" s="757"/>
    </row>
    <row r="726" spans="1:12" hidden="1">
      <c r="A726" s="689" t="s">
        <v>228</v>
      </c>
      <c r="B726" s="761" t="s">
        <v>227</v>
      </c>
      <c r="C726" s="764" t="s">
        <v>176</v>
      </c>
      <c r="D726" s="737" t="s">
        <v>177</v>
      </c>
      <c r="E726" s="735">
        <v>16</v>
      </c>
      <c r="F726" s="736" t="s">
        <v>19</v>
      </c>
      <c r="G726" s="828"/>
      <c r="H726" s="704" t="s">
        <v>229</v>
      </c>
      <c r="I726" s="736"/>
      <c r="J726" s="752">
        <v>770</v>
      </c>
      <c r="K726" s="709"/>
      <c r="L726" s="757"/>
    </row>
    <row r="727" spans="1:12" hidden="1">
      <c r="A727" s="689" t="s">
        <v>228</v>
      </c>
      <c r="B727" s="761" t="s">
        <v>227</v>
      </c>
      <c r="C727" s="764" t="s">
        <v>178</v>
      </c>
      <c r="D727" s="734" t="s">
        <v>179</v>
      </c>
      <c r="E727" s="735">
        <v>20</v>
      </c>
      <c r="F727" s="736" t="s">
        <v>19</v>
      </c>
      <c r="G727" s="828"/>
      <c r="H727" s="704" t="s">
        <v>229</v>
      </c>
      <c r="I727" s="736"/>
      <c r="J727" s="752"/>
      <c r="K727" s="709"/>
      <c r="L727" s="757"/>
    </row>
    <row r="728" spans="1:12" hidden="1">
      <c r="A728" s="689" t="s">
        <v>228</v>
      </c>
      <c r="B728" s="761" t="s">
        <v>227</v>
      </c>
      <c r="C728" s="764" t="s">
        <v>190</v>
      </c>
      <c r="D728" s="734" t="s">
        <v>191</v>
      </c>
      <c r="E728" s="735">
        <v>24</v>
      </c>
      <c r="F728" s="736" t="s">
        <v>19</v>
      </c>
      <c r="G728" s="828"/>
      <c r="H728" s="704"/>
      <c r="I728" s="736"/>
      <c r="J728" s="752"/>
      <c r="K728" s="709"/>
      <c r="L728" s="757"/>
    </row>
    <row r="729" spans="1:12" hidden="1">
      <c r="A729" s="689" t="s">
        <v>228</v>
      </c>
      <c r="B729" s="765" t="s">
        <v>230</v>
      </c>
      <c r="C729" s="766"/>
      <c r="D729" s="755"/>
      <c r="E729" s="692"/>
      <c r="F729" s="693"/>
      <c r="G729" s="723"/>
      <c r="H729" s="695"/>
      <c r="I729" s="693"/>
      <c r="J729" s="690"/>
      <c r="K729" s="709"/>
      <c r="L729" s="757"/>
    </row>
    <row r="730" spans="1:12" hidden="1">
      <c r="A730" s="689" t="s">
        <v>228</v>
      </c>
      <c r="B730" s="833" t="s">
        <v>230</v>
      </c>
      <c r="C730" s="764" t="s">
        <v>47</v>
      </c>
      <c r="D730" s="705" t="s">
        <v>99</v>
      </c>
      <c r="E730" s="744">
        <v>0.5</v>
      </c>
      <c r="F730" s="736" t="s">
        <v>19</v>
      </c>
      <c r="G730" s="828"/>
      <c r="H730" s="704" t="s">
        <v>229</v>
      </c>
      <c r="I730" s="736"/>
      <c r="J730" s="752">
        <f>J711</f>
        <v>55</v>
      </c>
      <c r="K730" s="709"/>
      <c r="L730" s="757"/>
    </row>
    <row r="731" spans="1:12" hidden="1">
      <c r="A731" s="689" t="s">
        <v>228</v>
      </c>
      <c r="B731" s="833" t="s">
        <v>230</v>
      </c>
      <c r="C731" s="764" t="s">
        <v>49</v>
      </c>
      <c r="D731" s="705" t="s">
        <v>104</v>
      </c>
      <c r="E731" s="744">
        <v>0.75</v>
      </c>
      <c r="F731" s="736" t="s">
        <v>19</v>
      </c>
      <c r="G731" s="828">
        <f>ROUND('r.czarna rowk'!R21,2)</f>
        <v>125.31</v>
      </c>
      <c r="H731" s="704" t="s">
        <v>229</v>
      </c>
      <c r="I731" s="736"/>
      <c r="J731" s="752">
        <f>J712</f>
        <v>60</v>
      </c>
      <c r="K731" s="709"/>
      <c r="L731" s="757"/>
    </row>
    <row r="732" spans="1:12" hidden="1">
      <c r="A732" s="689" t="s">
        <v>228</v>
      </c>
      <c r="B732" s="833" t="s">
        <v>230</v>
      </c>
      <c r="C732" s="764" t="s">
        <v>51</v>
      </c>
      <c r="D732" s="705" t="s">
        <v>105</v>
      </c>
      <c r="E732" s="744">
        <v>1</v>
      </c>
      <c r="F732" s="736" t="s">
        <v>19</v>
      </c>
      <c r="G732" s="828">
        <f>ROUND('r.czarna rowk'!R22,2)</f>
        <v>131.57</v>
      </c>
      <c r="H732" s="704" t="s">
        <v>229</v>
      </c>
      <c r="I732" s="736"/>
      <c r="J732" s="752">
        <f t="shared" ref="J732:J745" si="23">J713</f>
        <v>65</v>
      </c>
      <c r="K732" s="709"/>
      <c r="L732" s="757"/>
    </row>
    <row r="733" spans="1:12" hidden="1">
      <c r="A733" s="689" t="s">
        <v>228</v>
      </c>
      <c r="B733" s="833" t="s">
        <v>230</v>
      </c>
      <c r="C733" s="764" t="s">
        <v>53</v>
      </c>
      <c r="D733" s="705" t="s">
        <v>106</v>
      </c>
      <c r="E733" s="744">
        <v>1.25</v>
      </c>
      <c r="F733" s="736" t="s">
        <v>19</v>
      </c>
      <c r="G733" s="828">
        <f>ROUND('r.czarna rowk'!R23,2)</f>
        <v>128.52000000000001</v>
      </c>
      <c r="H733" s="704" t="s">
        <v>229</v>
      </c>
      <c r="I733" s="736"/>
      <c r="J733" s="752">
        <f t="shared" si="23"/>
        <v>70</v>
      </c>
      <c r="K733" s="709"/>
      <c r="L733" s="757"/>
    </row>
    <row r="734" spans="1:12" hidden="1">
      <c r="A734" s="689" t="s">
        <v>228</v>
      </c>
      <c r="B734" s="833" t="s">
        <v>230</v>
      </c>
      <c r="C734" s="764" t="s">
        <v>55</v>
      </c>
      <c r="D734" s="705" t="s">
        <v>107</v>
      </c>
      <c r="E734" s="744">
        <v>1.5</v>
      </c>
      <c r="F734" s="736" t="s">
        <v>19</v>
      </c>
      <c r="G734" s="828">
        <f>ROUND('r.czarna rowk'!R24,2)</f>
        <v>128.41999999999999</v>
      </c>
      <c r="H734" s="704" t="s">
        <v>229</v>
      </c>
      <c r="I734" s="736"/>
      <c r="J734" s="752">
        <f t="shared" si="23"/>
        <v>75</v>
      </c>
      <c r="K734" s="709"/>
      <c r="L734" s="757"/>
    </row>
    <row r="735" spans="1:12" hidden="1">
      <c r="A735" s="689" t="s">
        <v>228</v>
      </c>
      <c r="B735" s="833" t="s">
        <v>230</v>
      </c>
      <c r="C735" s="764" t="s">
        <v>57</v>
      </c>
      <c r="D735" s="705" t="s">
        <v>31</v>
      </c>
      <c r="E735" s="735">
        <v>2</v>
      </c>
      <c r="F735" s="736" t="s">
        <v>19</v>
      </c>
      <c r="G735" s="828">
        <f>ROUND('r.czarna rowk'!R25,2)</f>
        <v>163.44</v>
      </c>
      <c r="H735" s="704" t="s">
        <v>229</v>
      </c>
      <c r="I735" s="736"/>
      <c r="J735" s="752">
        <f t="shared" si="23"/>
        <v>85</v>
      </c>
      <c r="K735" s="709"/>
      <c r="L735" s="757"/>
    </row>
    <row r="736" spans="1:12" hidden="1">
      <c r="A736" s="689" t="s">
        <v>228</v>
      </c>
      <c r="B736" s="833" t="s">
        <v>230</v>
      </c>
      <c r="C736" s="764" t="s">
        <v>59</v>
      </c>
      <c r="D736" s="844" t="s">
        <v>33</v>
      </c>
      <c r="E736" s="845" t="s">
        <v>34</v>
      </c>
      <c r="F736" s="736" t="s">
        <v>19</v>
      </c>
      <c r="G736" s="828">
        <f>ROUND('r.czarna rowk'!R26,2)</f>
        <v>193.79</v>
      </c>
      <c r="H736" s="704" t="s">
        <v>229</v>
      </c>
      <c r="I736" s="736"/>
      <c r="J736" s="752">
        <f t="shared" si="23"/>
        <v>95</v>
      </c>
      <c r="K736" s="709"/>
      <c r="L736" s="757"/>
    </row>
    <row r="737" spans="1:12" hidden="1">
      <c r="A737" s="689" t="s">
        <v>228</v>
      </c>
      <c r="B737" s="833" t="s">
        <v>230</v>
      </c>
      <c r="C737" s="764" t="s">
        <v>60</v>
      </c>
      <c r="D737" s="700" t="s">
        <v>35</v>
      </c>
      <c r="E737" s="735">
        <v>3</v>
      </c>
      <c r="F737" s="736" t="s">
        <v>19</v>
      </c>
      <c r="G737" s="828">
        <f>ROUND('r.czarna rowk'!R27,2)</f>
        <v>233.93</v>
      </c>
      <c r="H737" s="704" t="s">
        <v>229</v>
      </c>
      <c r="I737" s="736"/>
      <c r="J737" s="752">
        <f t="shared" si="23"/>
        <v>100</v>
      </c>
      <c r="K737" s="709"/>
      <c r="L737" s="757"/>
    </row>
    <row r="738" spans="1:12" hidden="1">
      <c r="A738" s="689" t="s">
        <v>228</v>
      </c>
      <c r="B738" s="833" t="s">
        <v>230</v>
      </c>
      <c r="C738" s="764" t="s">
        <v>62</v>
      </c>
      <c r="D738" s="844" t="s">
        <v>37</v>
      </c>
      <c r="E738" s="735">
        <v>4</v>
      </c>
      <c r="F738" s="736" t="s">
        <v>19</v>
      </c>
      <c r="G738" s="828">
        <f>ROUND('r.czarna rowk'!R28,2)</f>
        <v>340.39</v>
      </c>
      <c r="H738" s="704" t="s">
        <v>229</v>
      </c>
      <c r="I738" s="736"/>
      <c r="J738" s="752">
        <f t="shared" si="23"/>
        <v>110</v>
      </c>
      <c r="K738" s="709"/>
      <c r="L738" s="757"/>
    </row>
    <row r="739" spans="1:12" hidden="1">
      <c r="A739" s="689" t="s">
        <v>228</v>
      </c>
      <c r="B739" s="833" t="s">
        <v>230</v>
      </c>
      <c r="C739" s="764" t="s">
        <v>63</v>
      </c>
      <c r="D739" s="737" t="s">
        <v>168</v>
      </c>
      <c r="E739" s="735">
        <v>5</v>
      </c>
      <c r="F739" s="736" t="s">
        <v>19</v>
      </c>
      <c r="G739" s="828">
        <f>ROUND('r.czarna rowk'!R29,2)</f>
        <v>504.9</v>
      </c>
      <c r="H739" s="704" t="s">
        <v>229</v>
      </c>
      <c r="I739" s="736"/>
      <c r="J739" s="752">
        <f t="shared" si="23"/>
        <v>140</v>
      </c>
      <c r="K739" s="709"/>
      <c r="L739" s="757"/>
    </row>
    <row r="740" spans="1:12" hidden="1">
      <c r="A740" s="689" t="s">
        <v>228</v>
      </c>
      <c r="B740" s="833" t="s">
        <v>230</v>
      </c>
      <c r="C740" s="764" t="s">
        <v>66</v>
      </c>
      <c r="D740" s="737" t="s">
        <v>169</v>
      </c>
      <c r="E740" s="735">
        <v>6</v>
      </c>
      <c r="F740" s="736" t="s">
        <v>19</v>
      </c>
      <c r="G740" s="828">
        <f>ROUND('r.czarna rowk'!R30,2)</f>
        <v>624.54999999999995</v>
      </c>
      <c r="H740" s="704" t="s">
        <v>229</v>
      </c>
      <c r="I740" s="736"/>
      <c r="J740" s="752">
        <f t="shared" si="23"/>
        <v>170</v>
      </c>
      <c r="K740" s="709"/>
      <c r="L740" s="757"/>
    </row>
    <row r="741" spans="1:12" hidden="1">
      <c r="A741" s="689" t="s">
        <v>228</v>
      </c>
      <c r="B741" s="833" t="s">
        <v>230</v>
      </c>
      <c r="C741" s="764" t="s">
        <v>121</v>
      </c>
      <c r="D741" s="737" t="s">
        <v>170</v>
      </c>
      <c r="E741" s="735">
        <v>8</v>
      </c>
      <c r="F741" s="736" t="s">
        <v>19</v>
      </c>
      <c r="G741" s="828">
        <f>ROUND('r.czarna rowk'!R31,2)</f>
        <v>824.88</v>
      </c>
      <c r="H741" s="704" t="s">
        <v>229</v>
      </c>
      <c r="I741" s="736"/>
      <c r="J741" s="752">
        <f t="shared" si="23"/>
        <v>220</v>
      </c>
      <c r="K741" s="709"/>
      <c r="L741" s="757"/>
    </row>
    <row r="742" spans="1:12" hidden="1">
      <c r="A742" s="689" t="s">
        <v>228</v>
      </c>
      <c r="B742" s="833" t="s">
        <v>230</v>
      </c>
      <c r="C742" s="764" t="s">
        <v>122</v>
      </c>
      <c r="D742" s="737" t="s">
        <v>171</v>
      </c>
      <c r="E742" s="735">
        <v>10</v>
      </c>
      <c r="F742" s="736" t="s">
        <v>19</v>
      </c>
      <c r="G742" s="828">
        <f>ROUND('r.czarna rowk'!R32,2)</f>
        <v>1354.01</v>
      </c>
      <c r="H742" s="704" t="s">
        <v>229</v>
      </c>
      <c r="I742" s="736"/>
      <c r="J742" s="752">
        <f t="shared" si="23"/>
        <v>280</v>
      </c>
      <c r="K742" s="709"/>
      <c r="L742" s="757"/>
    </row>
    <row r="743" spans="1:12" hidden="1">
      <c r="A743" s="689" t="s">
        <v>228</v>
      </c>
      <c r="B743" s="833" t="s">
        <v>230</v>
      </c>
      <c r="C743" s="764" t="s">
        <v>156</v>
      </c>
      <c r="D743" s="737" t="s">
        <v>172</v>
      </c>
      <c r="E743" s="735">
        <v>12</v>
      </c>
      <c r="F743" s="736" t="s">
        <v>19</v>
      </c>
      <c r="G743" s="828">
        <f>ROUND('r.czarna rowk'!R33,2)</f>
        <v>1678.97</v>
      </c>
      <c r="H743" s="704" t="s">
        <v>229</v>
      </c>
      <c r="I743" s="736"/>
      <c r="J743" s="752">
        <f t="shared" si="23"/>
        <v>320</v>
      </c>
      <c r="K743" s="709"/>
      <c r="L743" s="757"/>
    </row>
    <row r="744" spans="1:12" hidden="1">
      <c r="A744" s="689" t="s">
        <v>228</v>
      </c>
      <c r="B744" s="833" t="s">
        <v>230</v>
      </c>
      <c r="C744" s="764" t="s">
        <v>158</v>
      </c>
      <c r="D744" s="737" t="s">
        <v>175</v>
      </c>
      <c r="E744" s="735">
        <v>14</v>
      </c>
      <c r="F744" s="736" t="s">
        <v>19</v>
      </c>
      <c r="G744" s="828">
        <f>ROUND('r.czarna rowk'!R34,2)</f>
        <v>3847.05</v>
      </c>
      <c r="H744" s="704" t="s">
        <v>229</v>
      </c>
      <c r="I744" s="736"/>
      <c r="J744" s="752">
        <f t="shared" si="23"/>
        <v>650</v>
      </c>
      <c r="K744" s="709"/>
      <c r="L744" s="757"/>
    </row>
    <row r="745" spans="1:12" hidden="1">
      <c r="A745" s="689" t="s">
        <v>228</v>
      </c>
      <c r="B745" s="833" t="s">
        <v>230</v>
      </c>
      <c r="C745" s="764" t="s">
        <v>176</v>
      </c>
      <c r="D745" s="737" t="s">
        <v>177</v>
      </c>
      <c r="E745" s="735">
        <v>16</v>
      </c>
      <c r="F745" s="736" t="s">
        <v>19</v>
      </c>
      <c r="G745" s="828">
        <f>ROUND('r.czarna rowk'!R35,2)</f>
        <v>0</v>
      </c>
      <c r="H745" s="704" t="s">
        <v>229</v>
      </c>
      <c r="I745" s="736"/>
      <c r="J745" s="752">
        <f t="shared" si="23"/>
        <v>770</v>
      </c>
      <c r="K745" s="709"/>
      <c r="L745" s="757"/>
    </row>
    <row r="746" spans="1:12" hidden="1">
      <c r="A746" s="689"/>
      <c r="B746" s="690"/>
      <c r="C746" s="766"/>
      <c r="D746" s="755"/>
      <c r="E746" s="692"/>
      <c r="F746" s="693"/>
      <c r="G746" s="723"/>
      <c r="H746" s="695"/>
      <c r="I746" s="693"/>
      <c r="J746" s="690"/>
      <c r="K746" s="709"/>
      <c r="L746" s="757"/>
    </row>
    <row r="747" spans="1:12" ht="16.5" hidden="1">
      <c r="A747" s="731" t="s">
        <v>231</v>
      </c>
      <c r="B747" s="724" t="s">
        <v>232</v>
      </c>
      <c r="C747" s="734" t="s">
        <v>47</v>
      </c>
      <c r="D747" s="734" t="s">
        <v>233</v>
      </c>
      <c r="E747" s="735"/>
      <c r="F747" s="736"/>
      <c r="G747" s="727">
        <f>ROUND('r. nierdz spawana'!N8,2)</f>
        <v>26.05</v>
      </c>
      <c r="H747" s="704"/>
      <c r="I747" s="736">
        <v>304</v>
      </c>
      <c r="J747" s="752">
        <v>96</v>
      </c>
      <c r="K747" s="709"/>
      <c r="L747" s="757"/>
    </row>
    <row r="748" spans="1:12" ht="16.5" hidden="1">
      <c r="A748" s="731" t="s">
        <v>231</v>
      </c>
      <c r="B748" s="724" t="s">
        <v>232</v>
      </c>
      <c r="C748" s="734" t="s">
        <v>49</v>
      </c>
      <c r="D748" s="734" t="s">
        <v>234</v>
      </c>
      <c r="E748" s="735"/>
      <c r="F748" s="736"/>
      <c r="G748" s="727">
        <f>ROUND('r. nierdz spawana'!N9,2)</f>
        <v>29.86</v>
      </c>
      <c r="H748" s="704"/>
      <c r="I748" s="736">
        <f>I747</f>
        <v>304</v>
      </c>
      <c r="J748" s="752">
        <v>118</v>
      </c>
      <c r="K748" s="709"/>
      <c r="L748" s="757"/>
    </row>
    <row r="749" spans="1:12" ht="16.5" hidden="1">
      <c r="A749" s="731" t="s">
        <v>231</v>
      </c>
      <c r="B749" s="724" t="s">
        <v>232</v>
      </c>
      <c r="C749" s="734" t="s">
        <v>51</v>
      </c>
      <c r="D749" s="734" t="s">
        <v>235</v>
      </c>
      <c r="E749" s="735"/>
      <c r="F749" s="736"/>
      <c r="G749" s="727">
        <f>ROUND('r. nierdz spawana'!N10,2)</f>
        <v>37.94</v>
      </c>
      <c r="H749" s="704"/>
      <c r="I749" s="736">
        <f t="shared" ref="I749:I764" si="24">I748</f>
        <v>304</v>
      </c>
      <c r="J749" s="752">
        <v>125</v>
      </c>
      <c r="K749" s="709"/>
      <c r="L749" s="757"/>
    </row>
    <row r="750" spans="1:12" ht="16.5" hidden="1">
      <c r="A750" s="731" t="s">
        <v>231</v>
      </c>
      <c r="B750" s="724" t="s">
        <v>232</v>
      </c>
      <c r="C750" s="734" t="s">
        <v>53</v>
      </c>
      <c r="D750" s="734" t="s">
        <v>236</v>
      </c>
      <c r="E750" s="735"/>
      <c r="F750" s="736"/>
      <c r="G750" s="727">
        <f>ROUND('r. nierdz spawana'!N11,2)</f>
        <v>47.18</v>
      </c>
      <c r="H750" s="704"/>
      <c r="I750" s="736">
        <f t="shared" si="24"/>
        <v>304</v>
      </c>
      <c r="J750" s="752">
        <v>131</v>
      </c>
      <c r="K750" s="709"/>
      <c r="L750" s="757"/>
    </row>
    <row r="751" spans="1:12" ht="16.5" hidden="1">
      <c r="A751" s="731" t="s">
        <v>231</v>
      </c>
      <c r="B751" s="724" t="s">
        <v>232</v>
      </c>
      <c r="C751" s="734" t="s">
        <v>55</v>
      </c>
      <c r="D751" s="734" t="s">
        <v>237</v>
      </c>
      <c r="E751" s="735"/>
      <c r="F751" s="736"/>
      <c r="G751" s="727">
        <f>ROUND('r. nierdz spawana'!N12,2)</f>
        <v>54.43</v>
      </c>
      <c r="H751" s="704"/>
      <c r="I751" s="736">
        <f t="shared" si="24"/>
        <v>304</v>
      </c>
      <c r="J751" s="752">
        <v>173</v>
      </c>
      <c r="K751" s="709"/>
      <c r="L751" s="757"/>
    </row>
    <row r="752" spans="1:12" ht="16.5" hidden="1">
      <c r="A752" s="731" t="s">
        <v>231</v>
      </c>
      <c r="B752" s="724" t="s">
        <v>232</v>
      </c>
      <c r="C752" s="734" t="s">
        <v>57</v>
      </c>
      <c r="D752" s="734" t="s">
        <v>238</v>
      </c>
      <c r="E752" s="735"/>
      <c r="F752" s="736"/>
      <c r="G752" s="727">
        <f>ROUND('r. nierdz spawana'!N13,2)</f>
        <v>64.790000000000006</v>
      </c>
      <c r="H752" s="704"/>
      <c r="I752" s="736">
        <f t="shared" si="24"/>
        <v>304</v>
      </c>
      <c r="J752" s="752">
        <v>175</v>
      </c>
      <c r="K752" s="709"/>
      <c r="L752" s="757"/>
    </row>
    <row r="753" spans="1:12" ht="16.5" hidden="1">
      <c r="A753" s="731" t="s">
        <v>231</v>
      </c>
      <c r="B753" s="724" t="s">
        <v>232</v>
      </c>
      <c r="C753" s="734" t="s">
        <v>59</v>
      </c>
      <c r="D753" s="734" t="s">
        <v>239</v>
      </c>
      <c r="E753" s="845" t="s">
        <v>34</v>
      </c>
      <c r="F753" s="736"/>
      <c r="G753" s="727">
        <f>ROUND('r. nierdz spawana'!N14,2)</f>
        <v>86.69</v>
      </c>
      <c r="H753" s="704"/>
      <c r="I753" s="736">
        <f t="shared" si="24"/>
        <v>304</v>
      </c>
      <c r="J753" s="752">
        <v>183</v>
      </c>
      <c r="K753" s="709"/>
      <c r="L753" s="757"/>
    </row>
    <row r="754" spans="1:12" ht="16.5" hidden="1">
      <c r="A754" s="731" t="s">
        <v>231</v>
      </c>
      <c r="B754" s="724" t="s">
        <v>232</v>
      </c>
      <c r="C754" s="734" t="s">
        <v>60</v>
      </c>
      <c r="D754" s="734" t="s">
        <v>240</v>
      </c>
      <c r="E754" s="735"/>
      <c r="F754" s="736"/>
      <c r="G754" s="727">
        <f>ROUND('r. nierdz spawana'!N15,2)</f>
        <v>99.28</v>
      </c>
      <c r="H754" s="704"/>
      <c r="I754" s="736">
        <f t="shared" si="24"/>
        <v>304</v>
      </c>
      <c r="J754" s="752">
        <v>192</v>
      </c>
      <c r="K754" s="709"/>
      <c r="L754" s="757"/>
    </row>
    <row r="755" spans="1:12" ht="16.5" hidden="1">
      <c r="A755" s="731" t="s">
        <v>231</v>
      </c>
      <c r="B755" s="724" t="s">
        <v>232</v>
      </c>
      <c r="C755" s="734" t="s">
        <v>62</v>
      </c>
      <c r="D755" s="734" t="s">
        <v>241</v>
      </c>
      <c r="E755" s="735">
        <v>4</v>
      </c>
      <c r="F755" s="736"/>
      <c r="G755" s="727">
        <f>ROUND('r. nierdz spawana'!N16,2)</f>
        <v>126.79</v>
      </c>
      <c r="H755" s="704"/>
      <c r="I755" s="736">
        <f t="shared" si="24"/>
        <v>304</v>
      </c>
      <c r="J755" s="752">
        <v>306</v>
      </c>
      <c r="K755" s="709"/>
      <c r="L755" s="757"/>
    </row>
    <row r="756" spans="1:12" ht="16.5" hidden="1">
      <c r="A756" s="731" t="s">
        <v>231</v>
      </c>
      <c r="B756" s="724" t="s">
        <v>232</v>
      </c>
      <c r="C756" s="734" t="s">
        <v>63</v>
      </c>
      <c r="D756" s="734" t="s">
        <v>242</v>
      </c>
      <c r="E756" s="735"/>
      <c r="F756" s="736"/>
      <c r="G756" s="727">
        <f>ROUND('r. nierdz spawana'!N17,2)</f>
        <v>149.58000000000001</v>
      </c>
      <c r="H756" s="704"/>
      <c r="I756" s="736">
        <f t="shared" si="24"/>
        <v>304</v>
      </c>
      <c r="J756" s="752">
        <v>315</v>
      </c>
      <c r="K756" s="709"/>
      <c r="L756" s="757"/>
    </row>
    <row r="757" spans="1:12" ht="16.5" hidden="1">
      <c r="A757" s="731" t="s">
        <v>231</v>
      </c>
      <c r="B757" s="724" t="s">
        <v>232</v>
      </c>
      <c r="C757" s="734" t="s">
        <v>66</v>
      </c>
      <c r="D757" s="734" t="s">
        <v>243</v>
      </c>
      <c r="E757" s="735"/>
      <c r="F757" s="736"/>
      <c r="G757" s="727">
        <f>ROUND('r. nierdz spawana'!N18,2)</f>
        <v>181</v>
      </c>
      <c r="H757" s="704"/>
      <c r="I757" s="736">
        <f t="shared" si="24"/>
        <v>304</v>
      </c>
      <c r="J757" s="752">
        <v>367</v>
      </c>
      <c r="K757" s="709"/>
      <c r="L757" s="757"/>
    </row>
    <row r="758" spans="1:12" ht="16.5" hidden="1">
      <c r="A758" s="731" t="s">
        <v>231</v>
      </c>
      <c r="B758" s="724" t="s">
        <v>232</v>
      </c>
      <c r="C758" s="734" t="s">
        <v>121</v>
      </c>
      <c r="D758" s="734" t="s">
        <v>244</v>
      </c>
      <c r="E758" s="735"/>
      <c r="F758" s="736"/>
      <c r="G758" s="727">
        <f>ROUND('r. nierdz spawana'!N19,2)</f>
        <v>243.83</v>
      </c>
      <c r="H758" s="704"/>
      <c r="I758" s="736">
        <f t="shared" si="24"/>
        <v>304</v>
      </c>
      <c r="J758" s="752">
        <v>385</v>
      </c>
      <c r="K758" s="709"/>
      <c r="L758" s="757"/>
    </row>
    <row r="759" spans="1:12" ht="16.5" hidden="1">
      <c r="A759" s="731" t="s">
        <v>231</v>
      </c>
      <c r="B759" s="724" t="s">
        <v>232</v>
      </c>
      <c r="C759" s="734" t="s">
        <v>122</v>
      </c>
      <c r="D759" s="734" t="s">
        <v>245</v>
      </c>
      <c r="E759" s="735"/>
      <c r="F759" s="736"/>
      <c r="G759" s="727">
        <f>ROUND('r. nierdz spawana'!N20,2)</f>
        <v>356.14</v>
      </c>
      <c r="H759" s="704"/>
      <c r="I759" s="736">
        <f t="shared" si="24"/>
        <v>304</v>
      </c>
      <c r="J759" s="752">
        <v>420</v>
      </c>
      <c r="K759" s="709"/>
      <c r="L759" s="757"/>
    </row>
    <row r="760" spans="1:12" ht="16.5" hidden="1">
      <c r="A760" s="731" t="s">
        <v>231</v>
      </c>
      <c r="B760" s="724" t="s">
        <v>232</v>
      </c>
      <c r="C760" s="734" t="s">
        <v>156</v>
      </c>
      <c r="D760" s="734" t="s">
        <v>246</v>
      </c>
      <c r="E760" s="735"/>
      <c r="F760" s="736"/>
      <c r="G760" s="727">
        <f>ROUND('r. nierdz spawana'!N21,2)</f>
        <v>617.03</v>
      </c>
      <c r="H760" s="704"/>
      <c r="I760" s="736">
        <f t="shared" si="24"/>
        <v>304</v>
      </c>
      <c r="J760" s="752">
        <v>463</v>
      </c>
      <c r="K760" s="709"/>
      <c r="L760" s="757"/>
    </row>
    <row r="761" spans="1:12" ht="16.5" hidden="1">
      <c r="A761" s="731" t="s">
        <v>231</v>
      </c>
      <c r="B761" s="724" t="s">
        <v>232</v>
      </c>
      <c r="C761" s="734" t="s">
        <v>158</v>
      </c>
      <c r="D761" s="734" t="s">
        <v>247</v>
      </c>
      <c r="E761" s="735"/>
      <c r="F761" s="736"/>
      <c r="G761" s="727">
        <f>ROUND('r. nierdz spawana'!N22,2)</f>
        <v>725.2</v>
      </c>
      <c r="H761" s="704"/>
      <c r="I761" s="736">
        <f t="shared" si="24"/>
        <v>304</v>
      </c>
      <c r="J761" s="752"/>
      <c r="K761" s="709"/>
      <c r="L761" s="757"/>
    </row>
    <row r="762" spans="1:12" ht="16.5" hidden="1">
      <c r="A762" s="731" t="s">
        <v>231</v>
      </c>
      <c r="B762" s="724" t="s">
        <v>232</v>
      </c>
      <c r="C762" s="734" t="s">
        <v>176</v>
      </c>
      <c r="D762" s="734" t="s">
        <v>248</v>
      </c>
      <c r="E762" s="735"/>
      <c r="F762" s="736"/>
      <c r="G762" s="727">
        <f>ROUND('r. nierdz spawana'!N23,2)</f>
        <v>878.57</v>
      </c>
      <c r="H762" s="704"/>
      <c r="I762" s="736">
        <f t="shared" si="24"/>
        <v>304</v>
      </c>
      <c r="J762" s="752"/>
      <c r="K762" s="709"/>
      <c r="L762" s="757"/>
    </row>
    <row r="763" spans="1:12" ht="16.5" hidden="1">
      <c r="A763" s="731" t="s">
        <v>231</v>
      </c>
      <c r="B763" s="724" t="s">
        <v>232</v>
      </c>
      <c r="C763" s="734" t="s">
        <v>178</v>
      </c>
      <c r="D763" s="734" t="s">
        <v>249</v>
      </c>
      <c r="E763" s="735"/>
      <c r="F763" s="736"/>
      <c r="G763" s="727">
        <f>ROUND('r. nierdz spawana'!N24,2)</f>
        <v>1311.91</v>
      </c>
      <c r="H763" s="704"/>
      <c r="I763" s="736">
        <f t="shared" si="24"/>
        <v>304</v>
      </c>
      <c r="J763" s="752"/>
      <c r="K763" s="709"/>
      <c r="L763" s="757"/>
    </row>
    <row r="764" spans="1:12" ht="16.5" hidden="1">
      <c r="A764" s="731" t="s">
        <v>231</v>
      </c>
      <c r="B764" s="724" t="s">
        <v>232</v>
      </c>
      <c r="C764" s="734" t="s">
        <v>190</v>
      </c>
      <c r="D764" s="734" t="s">
        <v>250</v>
      </c>
      <c r="E764" s="735"/>
      <c r="F764" s="736"/>
      <c r="G764" s="727">
        <f>ROUND('r. nierdz spawana'!N25,2)</f>
        <v>3113.81</v>
      </c>
      <c r="H764" s="704"/>
      <c r="I764" s="736">
        <f t="shared" si="24"/>
        <v>304</v>
      </c>
      <c r="J764" s="752"/>
      <c r="K764" s="709"/>
      <c r="L764" s="757"/>
    </row>
    <row r="765" spans="1:12" hidden="1">
      <c r="A765" s="731"/>
      <c r="B765" s="722"/>
      <c r="C765" s="755"/>
      <c r="D765" s="755"/>
      <c r="E765" s="692"/>
      <c r="F765" s="693"/>
      <c r="G765" s="723"/>
      <c r="H765" s="695"/>
      <c r="I765" s="693"/>
      <c r="J765" s="753"/>
      <c r="K765" s="709"/>
      <c r="L765" s="757"/>
    </row>
    <row r="766" spans="1:12" ht="16.5" hidden="1">
      <c r="A766" s="731" t="s">
        <v>231</v>
      </c>
      <c r="B766" s="724" t="s">
        <v>232</v>
      </c>
      <c r="C766" s="734" t="s">
        <v>57</v>
      </c>
      <c r="D766" s="734" t="s">
        <v>238</v>
      </c>
      <c r="E766" s="735"/>
      <c r="F766" s="736"/>
      <c r="G766" s="727">
        <f>ROUND('r. nierdz spawana'!N35,2)</f>
        <v>63.3</v>
      </c>
      <c r="H766" s="704"/>
      <c r="I766" s="767" t="s">
        <v>251</v>
      </c>
      <c r="J766" s="752">
        <f>J752</f>
        <v>175</v>
      </c>
      <c r="K766" s="709"/>
      <c r="L766" s="757"/>
    </row>
    <row r="767" spans="1:12" ht="16.5" hidden="1">
      <c r="A767" s="731" t="s">
        <v>231</v>
      </c>
      <c r="B767" s="724" t="s">
        <v>232</v>
      </c>
      <c r="C767" s="734" t="s">
        <v>59</v>
      </c>
      <c r="D767" s="734" t="s">
        <v>252</v>
      </c>
      <c r="E767" s="845" t="s">
        <v>34</v>
      </c>
      <c r="F767" s="736"/>
      <c r="G767" s="727">
        <f>ROUND('r. nierdz spawana'!N36,2)</f>
        <v>87.38</v>
      </c>
      <c r="H767" s="704"/>
      <c r="I767" s="767" t="str">
        <f t="shared" ref="I767:I772" si="25">I766</f>
        <v>304 grubościenna</v>
      </c>
      <c r="J767" s="752">
        <f>J753</f>
        <v>183</v>
      </c>
      <c r="K767" s="709"/>
      <c r="L767" s="757"/>
    </row>
    <row r="768" spans="1:12" ht="16.5" hidden="1">
      <c r="A768" s="731" t="s">
        <v>231</v>
      </c>
      <c r="B768" s="724" t="s">
        <v>232</v>
      </c>
      <c r="C768" s="734" t="s">
        <v>60</v>
      </c>
      <c r="D768" s="734" t="s">
        <v>253</v>
      </c>
      <c r="E768" s="735"/>
      <c r="F768" s="736"/>
      <c r="G768" s="727">
        <f>ROUND('r. nierdz spawana'!N37,2)</f>
        <v>105.21</v>
      </c>
      <c r="H768" s="704"/>
      <c r="I768" s="767" t="str">
        <f t="shared" si="25"/>
        <v>304 grubościenna</v>
      </c>
      <c r="J768" s="752">
        <f>J754</f>
        <v>192</v>
      </c>
      <c r="K768" s="709"/>
      <c r="L768" s="757"/>
    </row>
    <row r="769" spans="1:12" ht="16.5" hidden="1">
      <c r="A769" s="731" t="s">
        <v>231</v>
      </c>
      <c r="B769" s="724" t="s">
        <v>232</v>
      </c>
      <c r="C769" s="734" t="s">
        <v>62</v>
      </c>
      <c r="D769" s="734" t="s">
        <v>254</v>
      </c>
      <c r="E769" s="735">
        <v>4</v>
      </c>
      <c r="F769" s="736"/>
      <c r="G769" s="727">
        <f>ROUND('r. nierdz spawana'!N38,2)</f>
        <v>165.35</v>
      </c>
      <c r="H769" s="704"/>
      <c r="I769" s="767" t="str">
        <f t="shared" si="25"/>
        <v>304 grubościenna</v>
      </c>
      <c r="J769" s="752">
        <f>J755</f>
        <v>306</v>
      </c>
      <c r="K769" s="709"/>
      <c r="L769" s="757"/>
    </row>
    <row r="770" spans="1:12" ht="16.5" hidden="1">
      <c r="A770" s="731" t="s">
        <v>231</v>
      </c>
      <c r="B770" s="724" t="s">
        <v>232</v>
      </c>
      <c r="C770" s="734" t="s">
        <v>66</v>
      </c>
      <c r="D770" s="734" t="s">
        <v>255</v>
      </c>
      <c r="E770" s="735"/>
      <c r="F770" s="736"/>
      <c r="G770" s="727">
        <f>ROUND('r. nierdz spawana'!N39,2)</f>
        <v>268.69</v>
      </c>
      <c r="H770" s="704"/>
      <c r="I770" s="767" t="str">
        <f t="shared" si="25"/>
        <v>304 grubościenna</v>
      </c>
      <c r="J770" s="752">
        <f>J757</f>
        <v>367</v>
      </c>
      <c r="K770" s="709"/>
      <c r="L770" s="757"/>
    </row>
    <row r="771" spans="1:12" ht="16.5" hidden="1">
      <c r="A771" s="731" t="s">
        <v>231</v>
      </c>
      <c r="B771" s="724" t="s">
        <v>232</v>
      </c>
      <c r="C771" s="734" t="s">
        <v>121</v>
      </c>
      <c r="D771" s="734" t="s">
        <v>256</v>
      </c>
      <c r="E771" s="735"/>
      <c r="F771" s="736"/>
      <c r="G771" s="727">
        <f>ROUND('r. nierdz spawana'!N40,2)</f>
        <v>384.57</v>
      </c>
      <c r="H771" s="704"/>
      <c r="I771" s="767" t="str">
        <f t="shared" si="25"/>
        <v>304 grubościenna</v>
      </c>
      <c r="J771" s="752">
        <f>J758</f>
        <v>385</v>
      </c>
      <c r="K771" s="709"/>
      <c r="L771" s="757"/>
    </row>
    <row r="772" spans="1:12" ht="16.5" hidden="1">
      <c r="A772" s="731" t="s">
        <v>231</v>
      </c>
      <c r="B772" s="724" t="s">
        <v>232</v>
      </c>
      <c r="C772" s="734" t="s">
        <v>122</v>
      </c>
      <c r="D772" s="734" t="s">
        <v>257</v>
      </c>
      <c r="E772" s="735"/>
      <c r="F772" s="736"/>
      <c r="G772" s="727">
        <f>ROUND('r. nierdz spawana'!N41,2)</f>
        <v>512.95000000000005</v>
      </c>
      <c r="H772" s="704"/>
      <c r="I772" s="767" t="str">
        <f t="shared" si="25"/>
        <v>304 grubościenna</v>
      </c>
      <c r="J772" s="752">
        <f>J759</f>
        <v>420</v>
      </c>
      <c r="K772" s="709"/>
      <c r="L772" s="757"/>
    </row>
    <row r="773" spans="1:12" hidden="1">
      <c r="A773" s="731"/>
      <c r="B773" s="722" t="s">
        <v>258</v>
      </c>
      <c r="C773" s="755"/>
      <c r="D773" s="755"/>
      <c r="E773" s="692"/>
      <c r="F773" s="693"/>
      <c r="G773" s="723"/>
      <c r="H773" s="695"/>
      <c r="I773" s="693"/>
      <c r="J773" s="753"/>
      <c r="K773" s="709"/>
      <c r="L773" s="757"/>
    </row>
    <row r="774" spans="1:12" ht="16.5" hidden="1">
      <c r="A774" s="731" t="s">
        <v>231</v>
      </c>
      <c r="B774" s="724" t="s">
        <v>259</v>
      </c>
      <c r="C774" s="734" t="s">
        <v>47</v>
      </c>
      <c r="D774" s="734" t="s">
        <v>233</v>
      </c>
      <c r="E774" s="735"/>
      <c r="F774" s="736"/>
      <c r="G774" s="727">
        <f>ROUND('r. nierdz spawana'!N71,2)</f>
        <v>61.98</v>
      </c>
      <c r="H774" s="704"/>
      <c r="I774" s="736">
        <v>304</v>
      </c>
      <c r="J774" s="752">
        <f>J747</f>
        <v>96</v>
      </c>
      <c r="K774" s="709"/>
      <c r="L774" s="757"/>
    </row>
    <row r="775" spans="1:12" ht="16.5" hidden="1">
      <c r="A775" s="731" t="s">
        <v>231</v>
      </c>
      <c r="B775" s="724" t="s">
        <v>259</v>
      </c>
      <c r="C775" s="734" t="s">
        <v>49</v>
      </c>
      <c r="D775" s="734" t="s">
        <v>234</v>
      </c>
      <c r="E775" s="735"/>
      <c r="F775" s="736"/>
      <c r="G775" s="727">
        <f>ROUND('r. nierdz spawana'!N72,2)</f>
        <v>72.989999999999995</v>
      </c>
      <c r="H775" s="704"/>
      <c r="I775" s="736">
        <f>I774</f>
        <v>304</v>
      </c>
      <c r="J775" s="752">
        <f t="shared" ref="J775:J786" si="26">J748</f>
        <v>118</v>
      </c>
      <c r="K775" s="709"/>
      <c r="L775" s="757"/>
    </row>
    <row r="776" spans="1:12" ht="16.5" hidden="1">
      <c r="A776" s="731" t="s">
        <v>231</v>
      </c>
      <c r="B776" s="724" t="s">
        <v>259</v>
      </c>
      <c r="C776" s="734" t="s">
        <v>51</v>
      </c>
      <c r="D776" s="734" t="s">
        <v>235</v>
      </c>
      <c r="E776" s="735"/>
      <c r="F776" s="736"/>
      <c r="G776" s="727">
        <f>ROUND('r. nierdz spawana'!N73,2)</f>
        <v>0</v>
      </c>
      <c r="H776" s="704"/>
      <c r="I776" s="736">
        <f t="shared" ref="I776:I786" si="27">I775</f>
        <v>304</v>
      </c>
      <c r="J776" s="752">
        <f t="shared" si="26"/>
        <v>125</v>
      </c>
      <c r="K776" s="709"/>
      <c r="L776" s="757"/>
    </row>
    <row r="777" spans="1:12" ht="16.5" hidden="1">
      <c r="A777" s="731" t="s">
        <v>231</v>
      </c>
      <c r="B777" s="724" t="s">
        <v>259</v>
      </c>
      <c r="C777" s="734" t="s">
        <v>53</v>
      </c>
      <c r="D777" s="734" t="s">
        <v>236</v>
      </c>
      <c r="E777" s="735"/>
      <c r="F777" s="736"/>
      <c r="G777" s="727">
        <f>ROUND('r. nierdz spawana'!N74,2)</f>
        <v>152.04</v>
      </c>
      <c r="H777" s="704"/>
      <c r="I777" s="736">
        <f t="shared" si="27"/>
        <v>304</v>
      </c>
      <c r="J777" s="752">
        <f t="shared" si="26"/>
        <v>131</v>
      </c>
      <c r="K777" s="709"/>
      <c r="L777" s="757"/>
    </row>
    <row r="778" spans="1:12" ht="16.5" hidden="1">
      <c r="A778" s="731" t="s">
        <v>231</v>
      </c>
      <c r="B778" s="724" t="s">
        <v>259</v>
      </c>
      <c r="C778" s="734" t="s">
        <v>55</v>
      </c>
      <c r="D778" s="734" t="s">
        <v>237</v>
      </c>
      <c r="E778" s="735"/>
      <c r="F778" s="736"/>
      <c r="G778" s="727">
        <f>ROUND('r. nierdz spawana'!N75,2)</f>
        <v>187.67</v>
      </c>
      <c r="H778" s="704"/>
      <c r="I778" s="736">
        <f t="shared" si="27"/>
        <v>304</v>
      </c>
      <c r="J778" s="752">
        <f t="shared" si="26"/>
        <v>173</v>
      </c>
      <c r="K778" s="709"/>
      <c r="L778" s="757"/>
    </row>
    <row r="779" spans="1:12" ht="16.5" hidden="1">
      <c r="A779" s="731" t="s">
        <v>231</v>
      </c>
      <c r="B779" s="724" t="s">
        <v>259</v>
      </c>
      <c r="C779" s="734" t="s">
        <v>57</v>
      </c>
      <c r="D779" s="734" t="s">
        <v>238</v>
      </c>
      <c r="E779" s="735"/>
      <c r="F779" s="736"/>
      <c r="G779" s="727">
        <f>ROUND('r. nierdz spawana'!N76,2)</f>
        <v>284.7</v>
      </c>
      <c r="H779" s="704"/>
      <c r="I779" s="736">
        <f t="shared" si="27"/>
        <v>304</v>
      </c>
      <c r="J779" s="752">
        <f t="shared" si="26"/>
        <v>175</v>
      </c>
      <c r="K779" s="709"/>
      <c r="L779" s="757"/>
    </row>
    <row r="780" spans="1:12" ht="16.5" hidden="1">
      <c r="A780" s="731" t="s">
        <v>231</v>
      </c>
      <c r="B780" s="724" t="s">
        <v>259</v>
      </c>
      <c r="C780" s="734" t="s">
        <v>59</v>
      </c>
      <c r="D780" s="734" t="s">
        <v>239</v>
      </c>
      <c r="E780" s="845" t="s">
        <v>34</v>
      </c>
      <c r="F780" s="736"/>
      <c r="G780" s="727">
        <f>ROUND('r. nierdz spawana'!N77,2)</f>
        <v>312.86</v>
      </c>
      <c r="H780" s="704"/>
      <c r="I780" s="736">
        <f t="shared" si="27"/>
        <v>304</v>
      </c>
      <c r="J780" s="752">
        <f t="shared" si="26"/>
        <v>183</v>
      </c>
      <c r="K780" s="709"/>
      <c r="L780" s="757"/>
    </row>
    <row r="781" spans="1:12" ht="16.5" hidden="1">
      <c r="A781" s="731" t="s">
        <v>231</v>
      </c>
      <c r="B781" s="724" t="s">
        <v>259</v>
      </c>
      <c r="C781" s="734" t="s">
        <v>60</v>
      </c>
      <c r="D781" s="734" t="s">
        <v>240</v>
      </c>
      <c r="E781" s="735"/>
      <c r="F781" s="736"/>
      <c r="G781" s="727">
        <f>ROUND('r. nierdz spawana'!N78,2)</f>
        <v>416.14</v>
      </c>
      <c r="H781" s="704"/>
      <c r="I781" s="736">
        <f t="shared" si="27"/>
        <v>304</v>
      </c>
      <c r="J781" s="752">
        <f t="shared" si="26"/>
        <v>192</v>
      </c>
      <c r="K781" s="709"/>
      <c r="L781" s="757"/>
    </row>
    <row r="782" spans="1:12" ht="16.5" hidden="1">
      <c r="A782" s="731" t="s">
        <v>231</v>
      </c>
      <c r="B782" s="724" t="s">
        <v>259</v>
      </c>
      <c r="C782" s="734" t="s">
        <v>62</v>
      </c>
      <c r="D782" s="734" t="s">
        <v>241</v>
      </c>
      <c r="E782" s="735">
        <v>4</v>
      </c>
      <c r="F782" s="736"/>
      <c r="G782" s="727">
        <f>ROUND('r. nierdz spawana'!N79,2)</f>
        <v>0</v>
      </c>
      <c r="H782" s="704"/>
      <c r="I782" s="736">
        <f t="shared" si="27"/>
        <v>304</v>
      </c>
      <c r="J782" s="752">
        <f t="shared" si="26"/>
        <v>306</v>
      </c>
      <c r="K782" s="709"/>
      <c r="L782" s="757"/>
    </row>
    <row r="783" spans="1:12" ht="16.5" hidden="1">
      <c r="A783" s="731" t="s">
        <v>231</v>
      </c>
      <c r="B783" s="724" t="s">
        <v>259</v>
      </c>
      <c r="C783" s="734" t="s">
        <v>63</v>
      </c>
      <c r="D783" s="734" t="s">
        <v>242</v>
      </c>
      <c r="E783" s="735"/>
      <c r="F783" s="736"/>
      <c r="G783" s="727">
        <f>ROUND('r. nierdz spawana'!N80,2)</f>
        <v>1031.76</v>
      </c>
      <c r="H783" s="704"/>
      <c r="I783" s="736">
        <f t="shared" si="27"/>
        <v>304</v>
      </c>
      <c r="J783" s="752">
        <f t="shared" si="26"/>
        <v>315</v>
      </c>
      <c r="K783" s="709"/>
      <c r="L783" s="757"/>
    </row>
    <row r="784" spans="1:12" ht="16.5" hidden="1">
      <c r="A784" s="731" t="s">
        <v>231</v>
      </c>
      <c r="B784" s="724" t="s">
        <v>259</v>
      </c>
      <c r="C784" s="734" t="s">
        <v>66</v>
      </c>
      <c r="D784" s="734" t="s">
        <v>243</v>
      </c>
      <c r="E784" s="735"/>
      <c r="F784" s="736"/>
      <c r="G784" s="727">
        <f>ROUND('r. nierdz spawana'!N81,2)</f>
        <v>1927.37</v>
      </c>
      <c r="H784" s="704"/>
      <c r="I784" s="736">
        <f t="shared" si="27"/>
        <v>304</v>
      </c>
      <c r="J784" s="752">
        <f t="shared" si="26"/>
        <v>367</v>
      </c>
      <c r="K784" s="709"/>
      <c r="L784" s="757"/>
    </row>
    <row r="785" spans="1:12" ht="16.5" hidden="1">
      <c r="A785" s="731" t="s">
        <v>231</v>
      </c>
      <c r="B785" s="724" t="s">
        <v>259</v>
      </c>
      <c r="C785" s="734" t="s">
        <v>121</v>
      </c>
      <c r="D785" s="734" t="s">
        <v>244</v>
      </c>
      <c r="E785" s="735"/>
      <c r="F785" s="736"/>
      <c r="G785" s="727">
        <f>ROUND('r. nierdz spawana'!N82,2)</f>
        <v>5578.81</v>
      </c>
      <c r="H785" s="704"/>
      <c r="I785" s="736">
        <f t="shared" si="27"/>
        <v>304</v>
      </c>
      <c r="J785" s="752">
        <f t="shared" si="26"/>
        <v>385</v>
      </c>
      <c r="K785" s="709"/>
      <c r="L785" s="757"/>
    </row>
    <row r="786" spans="1:12" ht="16.5" hidden="1">
      <c r="A786" s="731" t="s">
        <v>231</v>
      </c>
      <c r="B786" s="724" t="s">
        <v>259</v>
      </c>
      <c r="C786" s="734" t="s">
        <v>122</v>
      </c>
      <c r="D786" s="734" t="s">
        <v>245</v>
      </c>
      <c r="E786" s="735"/>
      <c r="F786" s="736"/>
      <c r="G786" s="727">
        <f>ROUND('r. nierdz spawana'!N83,2)</f>
        <v>0</v>
      </c>
      <c r="H786" s="704"/>
      <c r="I786" s="736">
        <f t="shared" si="27"/>
        <v>304</v>
      </c>
      <c r="J786" s="752">
        <f t="shared" si="26"/>
        <v>420</v>
      </c>
      <c r="K786" s="709"/>
      <c r="L786" s="757"/>
    </row>
    <row r="787" spans="1:12" ht="16.5" hidden="1">
      <c r="A787" s="731" t="s">
        <v>231</v>
      </c>
      <c r="B787" s="722"/>
      <c r="C787" s="755"/>
      <c r="D787" s="755"/>
      <c r="E787" s="692"/>
      <c r="F787" s="693"/>
      <c r="G787" s="723"/>
      <c r="H787" s="695"/>
      <c r="I787" s="693"/>
      <c r="J787" s="753"/>
      <c r="K787" s="709"/>
      <c r="L787" s="757"/>
    </row>
    <row r="788" spans="1:12" ht="16.5" hidden="1">
      <c r="A788" s="731" t="s">
        <v>231</v>
      </c>
      <c r="B788" s="724" t="s">
        <v>259</v>
      </c>
      <c r="C788" s="734" t="s">
        <v>57</v>
      </c>
      <c r="D788" s="734" t="s">
        <v>260</v>
      </c>
      <c r="E788" s="735"/>
      <c r="F788" s="736"/>
      <c r="G788" s="727">
        <f>ROUND('r. nierdz spawana'!N51,2)</f>
        <v>383.59</v>
      </c>
      <c r="H788" s="704"/>
      <c r="I788" s="767" t="s">
        <v>251</v>
      </c>
      <c r="J788" s="752">
        <f>J779</f>
        <v>175</v>
      </c>
      <c r="K788" s="709"/>
      <c r="L788" s="757"/>
    </row>
    <row r="789" spans="1:12" ht="16.5" hidden="1">
      <c r="A789" s="731" t="s">
        <v>231</v>
      </c>
      <c r="B789" s="724" t="s">
        <v>259</v>
      </c>
      <c r="C789" s="734" t="s">
        <v>59</v>
      </c>
      <c r="D789" s="734" t="s">
        <v>261</v>
      </c>
      <c r="E789" s="845" t="s">
        <v>34</v>
      </c>
      <c r="F789" s="736"/>
      <c r="G789" s="727">
        <f>ROUND('r. nierdz spawana'!N52,2)</f>
        <v>465.29</v>
      </c>
      <c r="H789" s="704"/>
      <c r="I789" s="767" t="str">
        <f>I788</f>
        <v>304 grubościenna</v>
      </c>
      <c r="J789" s="752">
        <f t="shared" ref="J789:J795" si="28">J780</f>
        <v>183</v>
      </c>
      <c r="K789" s="709"/>
      <c r="L789" s="757"/>
    </row>
    <row r="790" spans="1:12" ht="16.5" hidden="1">
      <c r="A790" s="731" t="s">
        <v>231</v>
      </c>
      <c r="B790" s="724" t="s">
        <v>259</v>
      </c>
      <c r="C790" s="734" t="s">
        <v>60</v>
      </c>
      <c r="D790" s="734" t="s">
        <v>262</v>
      </c>
      <c r="E790" s="735"/>
      <c r="F790" s="736"/>
      <c r="G790" s="727">
        <f>ROUND('r. nierdz spawana'!N53,2)</f>
        <v>631.57000000000005</v>
      </c>
      <c r="H790" s="704"/>
      <c r="I790" s="767" t="str">
        <f t="shared" ref="I790:I795" si="29">I789</f>
        <v>304 grubościenna</v>
      </c>
      <c r="J790" s="752">
        <f t="shared" si="28"/>
        <v>192</v>
      </c>
      <c r="K790" s="709"/>
      <c r="L790" s="757"/>
    </row>
    <row r="791" spans="1:12" ht="16.5" hidden="1">
      <c r="A791" s="731" t="s">
        <v>231</v>
      </c>
      <c r="B791" s="724" t="s">
        <v>259</v>
      </c>
      <c r="C791" s="734" t="s">
        <v>62</v>
      </c>
      <c r="D791" s="734" t="s">
        <v>263</v>
      </c>
      <c r="E791" s="735">
        <v>4</v>
      </c>
      <c r="F791" s="736"/>
      <c r="G791" s="727">
        <f>ROUND('r. nierdz spawana'!N54,2)</f>
        <v>725.15</v>
      </c>
      <c r="H791" s="704"/>
      <c r="I791" s="767" t="str">
        <f t="shared" si="29"/>
        <v>304 grubościenna</v>
      </c>
      <c r="J791" s="752">
        <f t="shared" si="28"/>
        <v>306</v>
      </c>
      <c r="K791" s="709"/>
      <c r="L791" s="757"/>
    </row>
    <row r="792" spans="1:12" ht="16.5" hidden="1">
      <c r="A792" s="731" t="s">
        <v>231</v>
      </c>
      <c r="B792" s="724" t="s">
        <v>259</v>
      </c>
      <c r="C792" s="734" t="s">
        <v>63</v>
      </c>
      <c r="D792" s="734" t="s">
        <v>264</v>
      </c>
      <c r="E792" s="735"/>
      <c r="F792" s="736"/>
      <c r="G792" s="727">
        <f>ROUND('r. nierdz spawana'!N55,2)</f>
        <v>973.26</v>
      </c>
      <c r="H792" s="704"/>
      <c r="I792" s="767" t="str">
        <f t="shared" si="29"/>
        <v>304 grubościenna</v>
      </c>
      <c r="J792" s="752">
        <f t="shared" si="28"/>
        <v>315</v>
      </c>
      <c r="K792" s="709"/>
      <c r="L792" s="757"/>
    </row>
    <row r="793" spans="1:12" ht="16.5" hidden="1">
      <c r="A793" s="731" t="s">
        <v>231</v>
      </c>
      <c r="B793" s="724" t="s">
        <v>259</v>
      </c>
      <c r="C793" s="734" t="s">
        <v>66</v>
      </c>
      <c r="D793" s="734" t="s">
        <v>255</v>
      </c>
      <c r="E793" s="735"/>
      <c r="F793" s="736"/>
      <c r="G793" s="727">
        <f>ROUND('r. nierdz spawana'!N56,2)</f>
        <v>1157.98</v>
      </c>
      <c r="H793" s="704"/>
      <c r="I793" s="767" t="str">
        <f t="shared" si="29"/>
        <v>304 grubościenna</v>
      </c>
      <c r="J793" s="752">
        <f t="shared" si="28"/>
        <v>367</v>
      </c>
      <c r="K793" s="709"/>
      <c r="L793" s="757"/>
    </row>
    <row r="794" spans="1:12" ht="16.5" hidden="1">
      <c r="A794" s="731" t="s">
        <v>231</v>
      </c>
      <c r="B794" s="724" t="s">
        <v>259</v>
      </c>
      <c r="C794" s="734" t="s">
        <v>121</v>
      </c>
      <c r="D794" s="734" t="s">
        <v>256</v>
      </c>
      <c r="E794" s="735"/>
      <c r="F794" s="736"/>
      <c r="G794" s="727">
        <f>ROUND('r. nierdz spawana'!N57,2)</f>
        <v>2258.27</v>
      </c>
      <c r="H794" s="704"/>
      <c r="I794" s="767" t="str">
        <f t="shared" si="29"/>
        <v>304 grubościenna</v>
      </c>
      <c r="J794" s="752">
        <f t="shared" si="28"/>
        <v>385</v>
      </c>
      <c r="K794" s="709"/>
      <c r="L794" s="757"/>
    </row>
    <row r="795" spans="1:12" ht="16.5" hidden="1">
      <c r="A795" s="731" t="s">
        <v>231</v>
      </c>
      <c r="B795" s="724" t="s">
        <v>259</v>
      </c>
      <c r="C795" s="734" t="s">
        <v>122</v>
      </c>
      <c r="D795" s="734" t="s">
        <v>257</v>
      </c>
      <c r="E795" s="735"/>
      <c r="F795" s="736"/>
      <c r="G795" s="727">
        <f>ROUND('r. nierdz spawana'!N58,2)</f>
        <v>5821.96</v>
      </c>
      <c r="H795" s="704"/>
      <c r="I795" s="767" t="str">
        <f t="shared" si="29"/>
        <v>304 grubościenna</v>
      </c>
      <c r="J795" s="752">
        <f t="shared" si="28"/>
        <v>420</v>
      </c>
      <c r="K795" s="709"/>
      <c r="L795" s="757"/>
    </row>
    <row r="796" spans="1:12" hidden="1">
      <c r="A796" s="731"/>
      <c r="B796" s="834"/>
      <c r="C796" s="835"/>
      <c r="D796" s="835"/>
      <c r="E796" s="836"/>
      <c r="F796" s="837"/>
      <c r="G796" s="838"/>
      <c r="H796" s="839"/>
      <c r="I796" s="837"/>
      <c r="J796" s="840"/>
      <c r="K796" s="709"/>
      <c r="L796" s="757"/>
    </row>
    <row r="797" spans="1:12" ht="16.5" hidden="1">
      <c r="A797" s="731" t="s">
        <v>231</v>
      </c>
      <c r="B797" s="724" t="s">
        <v>232</v>
      </c>
      <c r="C797" s="734" t="s">
        <v>47</v>
      </c>
      <c r="D797" s="734" t="s">
        <v>233</v>
      </c>
      <c r="E797" s="735"/>
      <c r="F797" s="736"/>
      <c r="G797" s="727">
        <f>ROUND('r. nierdz spawana'!N107,2)</f>
        <v>29.87</v>
      </c>
      <c r="H797" s="704"/>
      <c r="I797" s="736">
        <v>316</v>
      </c>
      <c r="J797" s="752">
        <f>J774</f>
        <v>96</v>
      </c>
      <c r="K797" s="709"/>
      <c r="L797" s="757"/>
    </row>
    <row r="798" spans="1:12" ht="16.5" hidden="1">
      <c r="A798" s="731" t="s">
        <v>231</v>
      </c>
      <c r="B798" s="724" t="s">
        <v>232</v>
      </c>
      <c r="C798" s="734" t="s">
        <v>49</v>
      </c>
      <c r="D798" s="734" t="s">
        <v>265</v>
      </c>
      <c r="E798" s="735"/>
      <c r="F798" s="736"/>
      <c r="G798" s="727">
        <f>ROUND('r. nierdz spawana'!N108,2)</f>
        <v>38.24</v>
      </c>
      <c r="H798" s="704"/>
      <c r="I798" s="736">
        <v>316</v>
      </c>
      <c r="J798" s="752">
        <f t="shared" ref="J798:J805" si="30">J775</f>
        <v>118</v>
      </c>
      <c r="K798" s="709"/>
      <c r="L798" s="757"/>
    </row>
    <row r="799" spans="1:12" ht="16.5" hidden="1">
      <c r="A799" s="731" t="s">
        <v>231</v>
      </c>
      <c r="B799" s="724" t="s">
        <v>232</v>
      </c>
      <c r="C799" s="734" t="s">
        <v>51</v>
      </c>
      <c r="D799" s="734" t="s">
        <v>266</v>
      </c>
      <c r="E799" s="735"/>
      <c r="F799" s="736"/>
      <c r="G799" s="727">
        <f>ROUND('r. nierdz spawana'!N109,2)</f>
        <v>50.3</v>
      </c>
      <c r="H799" s="704"/>
      <c r="I799" s="736">
        <v>316</v>
      </c>
      <c r="J799" s="752">
        <f t="shared" si="30"/>
        <v>125</v>
      </c>
      <c r="K799" s="709"/>
      <c r="L799" s="757"/>
    </row>
    <row r="800" spans="1:12" ht="16.5" hidden="1">
      <c r="A800" s="731" t="s">
        <v>231</v>
      </c>
      <c r="B800" s="724" t="s">
        <v>232</v>
      </c>
      <c r="C800" s="734" t="s">
        <v>53</v>
      </c>
      <c r="D800" s="734" t="s">
        <v>267</v>
      </c>
      <c r="E800" s="735"/>
      <c r="F800" s="736"/>
      <c r="G800" s="727">
        <f>ROUND('r. nierdz spawana'!N110,2)</f>
        <v>58.51</v>
      </c>
      <c r="H800" s="704"/>
      <c r="I800" s="736">
        <v>316</v>
      </c>
      <c r="J800" s="752">
        <f t="shared" si="30"/>
        <v>131</v>
      </c>
      <c r="K800" s="709"/>
      <c r="L800" s="757"/>
    </row>
    <row r="801" spans="1:15" ht="16.5" hidden="1">
      <c r="A801" s="731" t="s">
        <v>231</v>
      </c>
      <c r="B801" s="724" t="s">
        <v>232</v>
      </c>
      <c r="C801" s="734" t="s">
        <v>55</v>
      </c>
      <c r="D801" s="734" t="s">
        <v>268</v>
      </c>
      <c r="E801" s="735"/>
      <c r="F801" s="736"/>
      <c r="G801" s="727">
        <f>ROUND('r. nierdz spawana'!N111,2)</f>
        <v>77.239999999999995</v>
      </c>
      <c r="H801" s="704"/>
      <c r="I801" s="736">
        <v>316</v>
      </c>
      <c r="J801" s="752">
        <f t="shared" si="30"/>
        <v>173</v>
      </c>
      <c r="K801" s="709"/>
      <c r="L801" s="757"/>
    </row>
    <row r="802" spans="1:15" ht="16.5" hidden="1">
      <c r="A802" s="731" t="s">
        <v>231</v>
      </c>
      <c r="B802" s="724" t="s">
        <v>232</v>
      </c>
      <c r="C802" s="734" t="s">
        <v>57</v>
      </c>
      <c r="D802" s="734" t="s">
        <v>238</v>
      </c>
      <c r="E802" s="735"/>
      <c r="F802" s="736"/>
      <c r="G802" s="727">
        <v>100</v>
      </c>
      <c r="H802" s="704"/>
      <c r="I802" s="736">
        <v>316</v>
      </c>
      <c r="J802" s="752">
        <f t="shared" si="30"/>
        <v>175</v>
      </c>
      <c r="K802" s="709"/>
      <c r="L802" s="757"/>
    </row>
    <row r="803" spans="1:15" ht="16.5" hidden="1">
      <c r="A803" s="731" t="s">
        <v>231</v>
      </c>
      <c r="B803" s="724" t="s">
        <v>232</v>
      </c>
      <c r="C803" s="734" t="s">
        <v>59</v>
      </c>
      <c r="D803" s="734" t="s">
        <v>239</v>
      </c>
      <c r="E803" s="845" t="s">
        <v>34</v>
      </c>
      <c r="F803" s="736"/>
      <c r="G803" s="727">
        <f>ROUND('r. nierdz spawana'!N113,2)</f>
        <v>123.03</v>
      </c>
      <c r="H803" s="704"/>
      <c r="I803" s="736">
        <v>316</v>
      </c>
      <c r="J803" s="752">
        <f t="shared" si="30"/>
        <v>183</v>
      </c>
      <c r="K803" s="709"/>
      <c r="L803" s="757"/>
    </row>
    <row r="804" spans="1:15" ht="16.5" hidden="1">
      <c r="A804" s="731" t="s">
        <v>231</v>
      </c>
      <c r="B804" s="724" t="s">
        <v>232</v>
      </c>
      <c r="C804" s="734" t="s">
        <v>60</v>
      </c>
      <c r="D804" s="734" t="s">
        <v>240</v>
      </c>
      <c r="E804" s="735"/>
      <c r="F804" s="736"/>
      <c r="G804" s="727">
        <f>ROUND('r. nierdz spawana'!N114,2)</f>
        <v>142.44</v>
      </c>
      <c r="H804" s="704"/>
      <c r="I804" s="736">
        <v>316</v>
      </c>
      <c r="J804" s="752">
        <f t="shared" si="30"/>
        <v>192</v>
      </c>
      <c r="K804" s="709"/>
      <c r="L804" s="757"/>
    </row>
    <row r="805" spans="1:15" ht="16.5" hidden="1">
      <c r="A805" s="731" t="s">
        <v>231</v>
      </c>
      <c r="B805" s="724" t="s">
        <v>232</v>
      </c>
      <c r="C805" s="734" t="s">
        <v>62</v>
      </c>
      <c r="D805" s="734" t="s">
        <v>241</v>
      </c>
      <c r="E805" s="735">
        <v>4</v>
      </c>
      <c r="F805" s="736"/>
      <c r="G805" s="727">
        <f>ROUND('r. nierdz spawana'!N115,2)</f>
        <v>188.81</v>
      </c>
      <c r="H805" s="704"/>
      <c r="I805" s="736">
        <v>316</v>
      </c>
      <c r="J805" s="752">
        <f t="shared" si="30"/>
        <v>306</v>
      </c>
      <c r="K805" s="709"/>
      <c r="L805" s="757"/>
    </row>
    <row r="806" spans="1:15" hidden="1">
      <c r="A806" s="731"/>
      <c r="B806" s="724"/>
      <c r="C806" s="734"/>
      <c r="D806" s="734"/>
      <c r="E806" s="735"/>
      <c r="F806" s="736"/>
      <c r="G806" s="727"/>
      <c r="H806" s="704"/>
      <c r="I806" s="736"/>
      <c r="J806" s="752"/>
      <c r="K806" s="709"/>
      <c r="L806" s="757"/>
    </row>
    <row r="807" spans="1:15" hidden="1">
      <c r="A807" s="689"/>
      <c r="B807" s="690"/>
      <c r="C807" s="691"/>
      <c r="D807" s="691"/>
      <c r="E807" s="691"/>
      <c r="F807" s="759"/>
      <c r="G807" s="749"/>
      <c r="H807" s="760"/>
      <c r="I807" s="746"/>
      <c r="J807" s="746"/>
      <c r="K807" s="709"/>
      <c r="L807" s="757"/>
    </row>
    <row r="808" spans="1:15" s="841" customFormat="1" hidden="1">
      <c r="A808" s="689" t="s">
        <v>43</v>
      </c>
      <c r="B808" s="738" t="s">
        <v>269</v>
      </c>
      <c r="C808" s="764" t="s">
        <v>47</v>
      </c>
      <c r="D808" s="705" t="s">
        <v>270</v>
      </c>
      <c r="E808" s="744">
        <v>0.5</v>
      </c>
      <c r="F808" s="736" t="s">
        <v>19</v>
      </c>
      <c r="G808" s="727">
        <f>ROUND('izolacja wl, ct'!I275,2)</f>
        <v>12.23</v>
      </c>
      <c r="H808" s="704" t="s">
        <v>271</v>
      </c>
      <c r="I808" s="736" t="s">
        <v>272</v>
      </c>
      <c r="J808" s="752">
        <v>25</v>
      </c>
      <c r="K808" s="709"/>
      <c r="L808" s="757"/>
      <c r="M808" s="688"/>
      <c r="N808" s="688"/>
      <c r="O808" s="688"/>
    </row>
    <row r="809" spans="1:15" hidden="1">
      <c r="A809" s="689" t="s">
        <v>43</v>
      </c>
      <c r="B809" s="738" t="s">
        <v>269</v>
      </c>
      <c r="C809" s="764" t="s">
        <v>49</v>
      </c>
      <c r="D809" s="705" t="s">
        <v>104</v>
      </c>
      <c r="E809" s="744">
        <v>0.75</v>
      </c>
      <c r="F809" s="736" t="s">
        <v>19</v>
      </c>
      <c r="G809" s="727">
        <f>ROUND('izolacja wl, ct'!I276,2)</f>
        <v>13.25</v>
      </c>
      <c r="H809" s="704" t="s">
        <v>271</v>
      </c>
      <c r="I809" s="736" t="s">
        <v>272</v>
      </c>
      <c r="J809" s="752">
        <v>25</v>
      </c>
      <c r="K809" s="709"/>
      <c r="L809" s="757"/>
    </row>
    <row r="810" spans="1:15" hidden="1">
      <c r="A810" s="689" t="s">
        <v>43</v>
      </c>
      <c r="B810" s="738" t="s">
        <v>269</v>
      </c>
      <c r="C810" s="764" t="s">
        <v>51</v>
      </c>
      <c r="D810" s="705" t="s">
        <v>105</v>
      </c>
      <c r="E810" s="744">
        <v>1</v>
      </c>
      <c r="F810" s="736" t="s">
        <v>19</v>
      </c>
      <c r="G810" s="727">
        <f>ROUND('izolacja wl, ct'!I277,2)</f>
        <v>19.489999999999998</v>
      </c>
      <c r="H810" s="704" t="s">
        <v>271</v>
      </c>
      <c r="I810" s="736" t="s">
        <v>272</v>
      </c>
      <c r="J810" s="752">
        <v>25</v>
      </c>
      <c r="K810" s="709"/>
      <c r="L810" s="757"/>
    </row>
    <row r="811" spans="1:15" hidden="1">
      <c r="A811" s="689" t="s">
        <v>43</v>
      </c>
      <c r="B811" s="738" t="s">
        <v>269</v>
      </c>
      <c r="C811" s="764" t="s">
        <v>53</v>
      </c>
      <c r="D811" s="705" t="s">
        <v>106</v>
      </c>
      <c r="E811" s="744">
        <v>1.25</v>
      </c>
      <c r="F811" s="736" t="s">
        <v>19</v>
      </c>
      <c r="G811" s="727">
        <f>ROUND('izolacja wl, ct'!I278,2)</f>
        <v>21.51</v>
      </c>
      <c r="H811" s="704" t="s">
        <v>271</v>
      </c>
      <c r="I811" s="736" t="s">
        <v>272</v>
      </c>
      <c r="J811" s="752">
        <v>25</v>
      </c>
      <c r="K811" s="709"/>
      <c r="L811" s="757"/>
    </row>
    <row r="812" spans="1:15" hidden="1">
      <c r="A812" s="689" t="s">
        <v>43</v>
      </c>
      <c r="B812" s="738" t="s">
        <v>269</v>
      </c>
      <c r="C812" s="764" t="s">
        <v>55</v>
      </c>
      <c r="D812" s="705" t="s">
        <v>107</v>
      </c>
      <c r="E812" s="744">
        <v>1.5</v>
      </c>
      <c r="F812" s="736" t="s">
        <v>19</v>
      </c>
      <c r="G812" s="727">
        <f>ROUND('izolacja wl, ct'!I280,2)</f>
        <v>30.73</v>
      </c>
      <c r="H812" s="704" t="s">
        <v>271</v>
      </c>
      <c r="I812" s="736" t="s">
        <v>272</v>
      </c>
      <c r="J812" s="752">
        <v>25</v>
      </c>
      <c r="K812" s="709"/>
      <c r="L812" s="757"/>
    </row>
    <row r="813" spans="1:15" hidden="1">
      <c r="A813" s="689" t="s">
        <v>43</v>
      </c>
      <c r="B813" s="738" t="s">
        <v>269</v>
      </c>
      <c r="C813" s="764" t="s">
        <v>57</v>
      </c>
      <c r="D813" s="705" t="s">
        <v>31</v>
      </c>
      <c r="E813" s="735">
        <v>2</v>
      </c>
      <c r="F813" s="736" t="s">
        <v>19</v>
      </c>
      <c r="G813" s="727">
        <f>ROUND('izolacja wl, ct'!I281,2)</f>
        <v>49.23</v>
      </c>
      <c r="H813" s="704" t="s">
        <v>271</v>
      </c>
      <c r="I813" s="736" t="s">
        <v>272</v>
      </c>
      <c r="J813" s="752">
        <v>25</v>
      </c>
      <c r="K813" s="709"/>
      <c r="L813" s="757"/>
    </row>
    <row r="814" spans="1:15" hidden="1">
      <c r="A814" s="689" t="s">
        <v>43</v>
      </c>
      <c r="B814" s="738" t="s">
        <v>269</v>
      </c>
      <c r="C814" s="764" t="s">
        <v>59</v>
      </c>
      <c r="D814" s="844" t="s">
        <v>273</v>
      </c>
      <c r="E814" s="845" t="s">
        <v>34</v>
      </c>
      <c r="F814" s="736" t="s">
        <v>19</v>
      </c>
      <c r="G814" s="727">
        <f>ROUND('izolacja wl, ct'!I283,2)</f>
        <v>106.42</v>
      </c>
      <c r="H814" s="704" t="s">
        <v>271</v>
      </c>
      <c r="I814" s="736" t="s">
        <v>272</v>
      </c>
      <c r="J814" s="752">
        <v>25</v>
      </c>
      <c r="K814" s="709"/>
      <c r="L814" s="757"/>
    </row>
    <row r="815" spans="1:15" hidden="1">
      <c r="A815" s="689" t="s">
        <v>43</v>
      </c>
      <c r="B815" s="738" t="s">
        <v>269</v>
      </c>
      <c r="C815" s="764" t="s">
        <v>60</v>
      </c>
      <c r="D815" s="844" t="s">
        <v>35</v>
      </c>
      <c r="E815" s="735">
        <v>3</v>
      </c>
      <c r="F815" s="736" t="s">
        <v>19</v>
      </c>
      <c r="G815" s="727">
        <f>ROUND('izolacja wl, ct'!I284,2)</f>
        <v>137.88</v>
      </c>
      <c r="H815" s="704" t="s">
        <v>271</v>
      </c>
      <c r="I815" s="736" t="s">
        <v>272</v>
      </c>
      <c r="J815" s="752">
        <v>30</v>
      </c>
      <c r="K815" s="709"/>
      <c r="L815" s="757"/>
    </row>
    <row r="816" spans="1:15" hidden="1">
      <c r="A816" s="689" t="s">
        <v>43</v>
      </c>
      <c r="B816" s="738" t="s">
        <v>269</v>
      </c>
      <c r="C816" s="764" t="s">
        <v>62</v>
      </c>
      <c r="D816" s="844" t="s">
        <v>37</v>
      </c>
      <c r="E816" s="735">
        <v>4</v>
      </c>
      <c r="F816" s="736" t="s">
        <v>19</v>
      </c>
      <c r="G816" s="727">
        <f>ROUND('izolacja wl, ct'!I285,2)</f>
        <v>184.51</v>
      </c>
      <c r="H816" s="704" t="s">
        <v>271</v>
      </c>
      <c r="I816" s="736" t="s">
        <v>272</v>
      </c>
      <c r="J816" s="752">
        <v>30</v>
      </c>
      <c r="K816" s="709"/>
      <c r="L816" s="757"/>
    </row>
    <row r="817" spans="1:12" hidden="1">
      <c r="A817" s="689" t="s">
        <v>43</v>
      </c>
      <c r="B817" s="738" t="s">
        <v>269</v>
      </c>
      <c r="C817" s="764" t="s">
        <v>63</v>
      </c>
      <c r="D817" s="737" t="s">
        <v>168</v>
      </c>
      <c r="E817" s="735">
        <v>5</v>
      </c>
      <c r="F817" s="736" t="s">
        <v>19</v>
      </c>
      <c r="G817" s="727">
        <f>ROUND('izolacja wl, ct'!I286,2)</f>
        <v>203.83</v>
      </c>
      <c r="H817" s="704" t="s">
        <v>271</v>
      </c>
      <c r="I817" s="736" t="s">
        <v>272</v>
      </c>
      <c r="J817" s="752">
        <v>35</v>
      </c>
      <c r="K817" s="709"/>
      <c r="L817" s="757"/>
    </row>
    <row r="818" spans="1:12" hidden="1">
      <c r="A818" s="689" t="s">
        <v>43</v>
      </c>
      <c r="B818" s="738" t="s">
        <v>269</v>
      </c>
      <c r="C818" s="764" t="s">
        <v>66</v>
      </c>
      <c r="D818" s="737" t="s">
        <v>169</v>
      </c>
      <c r="E818" s="735">
        <v>6</v>
      </c>
      <c r="F818" s="736" t="s">
        <v>19</v>
      </c>
      <c r="G818" s="727">
        <f>ROUND('izolacja wl, ct'!I287,2)</f>
        <v>251.34</v>
      </c>
      <c r="H818" s="704" t="s">
        <v>271</v>
      </c>
      <c r="I818" s="736" t="s">
        <v>272</v>
      </c>
      <c r="J818" s="752">
        <v>35</v>
      </c>
      <c r="K818" s="709"/>
      <c r="L818" s="757"/>
    </row>
    <row r="819" spans="1:12" hidden="1">
      <c r="A819" s="689" t="s">
        <v>43</v>
      </c>
      <c r="B819" s="738" t="s">
        <v>269</v>
      </c>
      <c r="C819" s="764" t="s">
        <v>121</v>
      </c>
      <c r="D819" s="737" t="s">
        <v>170</v>
      </c>
      <c r="E819" s="735">
        <v>8</v>
      </c>
      <c r="F819" s="736" t="s">
        <v>19</v>
      </c>
      <c r="G819" s="727">
        <f>ROUND('izolacja wl, ct'!I288,2)</f>
        <v>307.66000000000003</v>
      </c>
      <c r="H819" s="704" t="s">
        <v>271</v>
      </c>
      <c r="I819" s="736" t="s">
        <v>272</v>
      </c>
      <c r="J819" s="752">
        <v>35</v>
      </c>
      <c r="K819" s="709"/>
      <c r="L819" s="757"/>
    </row>
    <row r="820" spans="1:12" hidden="1">
      <c r="A820" s="689" t="s">
        <v>43</v>
      </c>
      <c r="B820" s="738" t="s">
        <v>269</v>
      </c>
      <c r="C820" s="764" t="s">
        <v>122</v>
      </c>
      <c r="D820" s="737" t="s">
        <v>171</v>
      </c>
      <c r="E820" s="735">
        <v>10</v>
      </c>
      <c r="F820" s="736" t="s">
        <v>19</v>
      </c>
      <c r="G820" s="727">
        <f>ROUND('izolacja wl, ct'!I289,2)</f>
        <v>328.5</v>
      </c>
      <c r="H820" s="704" t="s">
        <v>271</v>
      </c>
      <c r="I820" s="736" t="s">
        <v>272</v>
      </c>
      <c r="J820" s="752">
        <v>35</v>
      </c>
      <c r="K820" s="709"/>
      <c r="L820" s="757"/>
    </row>
    <row r="821" spans="1:12" hidden="1">
      <c r="A821" s="689" t="s">
        <v>43</v>
      </c>
      <c r="B821" s="738" t="s">
        <v>269</v>
      </c>
      <c r="C821" s="764" t="s">
        <v>156</v>
      </c>
      <c r="D821" s="737" t="s">
        <v>172</v>
      </c>
      <c r="E821" s="735">
        <v>12</v>
      </c>
      <c r="F821" s="736" t="s">
        <v>19</v>
      </c>
      <c r="G821" s="727">
        <f>ROUND('izolacja wl, ct'!I290,2)</f>
        <v>488.25</v>
      </c>
      <c r="H821" s="704" t="s">
        <v>271</v>
      </c>
      <c r="I821" s="736" t="s">
        <v>272</v>
      </c>
      <c r="J821" s="752">
        <v>40</v>
      </c>
      <c r="K821" s="709"/>
      <c r="L821" s="757"/>
    </row>
    <row r="822" spans="1:12" hidden="1">
      <c r="A822" s="689" t="s">
        <v>43</v>
      </c>
      <c r="B822" s="738" t="s">
        <v>269</v>
      </c>
      <c r="C822" s="764" t="s">
        <v>158</v>
      </c>
      <c r="D822" s="737" t="s">
        <v>175</v>
      </c>
      <c r="E822" s="735">
        <v>14</v>
      </c>
      <c r="F822" s="736" t="s">
        <v>19</v>
      </c>
      <c r="G822" s="727">
        <f>ROUND('izolacja wl, ct'!I291,2)</f>
        <v>583.84</v>
      </c>
      <c r="H822" s="704" t="s">
        <v>271</v>
      </c>
      <c r="I822" s="736" t="s">
        <v>272</v>
      </c>
      <c r="J822" s="752">
        <v>50</v>
      </c>
      <c r="K822" s="709"/>
      <c r="L822" s="757"/>
    </row>
    <row r="823" spans="1:12" hidden="1">
      <c r="A823" s="689" t="s">
        <v>43</v>
      </c>
      <c r="B823" s="738" t="s">
        <v>269</v>
      </c>
      <c r="C823" s="764" t="s">
        <v>176</v>
      </c>
      <c r="D823" s="737" t="s">
        <v>177</v>
      </c>
      <c r="E823" s="735">
        <v>16</v>
      </c>
      <c r="F823" s="736" t="s">
        <v>19</v>
      </c>
      <c r="G823" s="727">
        <f>ROUND('izolacja wl, ct'!I292,2)</f>
        <v>632.74</v>
      </c>
      <c r="H823" s="704" t="s">
        <v>271</v>
      </c>
      <c r="I823" s="736" t="s">
        <v>272</v>
      </c>
      <c r="J823" s="752">
        <v>50</v>
      </c>
      <c r="K823" s="709"/>
      <c r="L823" s="757"/>
    </row>
    <row r="824" spans="1:12" hidden="1">
      <c r="A824" s="689" t="s">
        <v>43</v>
      </c>
      <c r="B824" s="691"/>
      <c r="C824" s="766"/>
      <c r="D824" s="711"/>
      <c r="E824" s="692"/>
      <c r="F824" s="693"/>
      <c r="G824" s="723"/>
      <c r="H824" s="695"/>
      <c r="I824" s="693"/>
      <c r="J824" s="690"/>
      <c r="K824" s="709"/>
      <c r="L824" s="757"/>
    </row>
    <row r="825" spans="1:12" hidden="1">
      <c r="A825" s="689" t="s">
        <v>43</v>
      </c>
      <c r="B825" s="738" t="s">
        <v>274</v>
      </c>
      <c r="C825" s="764" t="s">
        <v>47</v>
      </c>
      <c r="D825" s="705" t="s">
        <v>270</v>
      </c>
      <c r="E825" s="744">
        <v>0.5</v>
      </c>
      <c r="F825" s="736" t="s">
        <v>19</v>
      </c>
      <c r="G825" s="727">
        <f>ROUND('izolacja wl, ct'!I8,2)</f>
        <v>9.6</v>
      </c>
      <c r="H825" s="704" t="s">
        <v>275</v>
      </c>
      <c r="I825" s="736" t="s">
        <v>276</v>
      </c>
      <c r="J825" s="752">
        <v>25</v>
      </c>
      <c r="K825" s="709"/>
      <c r="L825" s="757"/>
    </row>
    <row r="826" spans="1:12" hidden="1">
      <c r="A826" s="689" t="s">
        <v>43</v>
      </c>
      <c r="B826" s="738" t="s">
        <v>274</v>
      </c>
      <c r="C826" s="764" t="s">
        <v>49</v>
      </c>
      <c r="D826" s="705" t="s">
        <v>104</v>
      </c>
      <c r="E826" s="744">
        <v>0.75</v>
      </c>
      <c r="F826" s="736" t="s">
        <v>19</v>
      </c>
      <c r="G826" s="727">
        <f>ROUND('izolacja wl, ct'!I9,2)</f>
        <v>13.27</v>
      </c>
      <c r="H826" s="704" t="s">
        <v>275</v>
      </c>
      <c r="I826" s="736" t="s">
        <v>276</v>
      </c>
      <c r="J826" s="752">
        <v>25</v>
      </c>
      <c r="K826" s="709"/>
      <c r="L826" s="757"/>
    </row>
    <row r="827" spans="1:12" hidden="1">
      <c r="A827" s="689" t="s">
        <v>43</v>
      </c>
      <c r="B827" s="738" t="s">
        <v>274</v>
      </c>
      <c r="C827" s="764" t="s">
        <v>51</v>
      </c>
      <c r="D827" s="705" t="s">
        <v>105</v>
      </c>
      <c r="E827" s="744">
        <v>1</v>
      </c>
      <c r="F827" s="736" t="s">
        <v>19</v>
      </c>
      <c r="G827" s="727">
        <f>ROUND('izolacja wl, ct'!I10,2)</f>
        <v>15.61</v>
      </c>
      <c r="H827" s="704" t="s">
        <v>275</v>
      </c>
      <c r="I827" s="736" t="s">
        <v>276</v>
      </c>
      <c r="J827" s="752">
        <v>25</v>
      </c>
      <c r="K827" s="709"/>
      <c r="L827" s="757"/>
    </row>
    <row r="828" spans="1:12" hidden="1">
      <c r="A828" s="689" t="s">
        <v>43</v>
      </c>
      <c r="B828" s="738" t="s">
        <v>274</v>
      </c>
      <c r="C828" s="764" t="s">
        <v>53</v>
      </c>
      <c r="D828" s="705" t="s">
        <v>106</v>
      </c>
      <c r="E828" s="744">
        <v>1.25</v>
      </c>
      <c r="F828" s="736" t="s">
        <v>19</v>
      </c>
      <c r="G828" s="727">
        <f>ROUND('izolacja wl, ct'!I11,2)</f>
        <v>17.43</v>
      </c>
      <c r="H828" s="704" t="s">
        <v>275</v>
      </c>
      <c r="I828" s="736" t="s">
        <v>276</v>
      </c>
      <c r="J828" s="752">
        <v>25</v>
      </c>
      <c r="K828" s="709"/>
      <c r="L828" s="757"/>
    </row>
    <row r="829" spans="1:12" hidden="1">
      <c r="A829" s="689" t="s">
        <v>43</v>
      </c>
      <c r="B829" s="738" t="s">
        <v>274</v>
      </c>
      <c r="C829" s="764" t="s">
        <v>55</v>
      </c>
      <c r="D829" s="705" t="s">
        <v>107</v>
      </c>
      <c r="E829" s="744">
        <v>1.5</v>
      </c>
      <c r="F829" s="736" t="s">
        <v>19</v>
      </c>
      <c r="G829" s="727">
        <f>ROUND('izolacja wl, ct'!I12,2)</f>
        <v>31.77</v>
      </c>
      <c r="H829" s="704" t="s">
        <v>275</v>
      </c>
      <c r="I829" s="736" t="s">
        <v>276</v>
      </c>
      <c r="J829" s="752">
        <v>25</v>
      </c>
      <c r="K829" s="709"/>
      <c r="L829" s="757"/>
    </row>
    <row r="830" spans="1:12" hidden="1">
      <c r="A830" s="689" t="s">
        <v>43</v>
      </c>
      <c r="B830" s="738" t="s">
        <v>274</v>
      </c>
      <c r="C830" s="764" t="s">
        <v>57</v>
      </c>
      <c r="D830" s="705" t="s">
        <v>31</v>
      </c>
      <c r="E830" s="735">
        <v>2</v>
      </c>
      <c r="F830" s="736" t="s">
        <v>19</v>
      </c>
      <c r="G830" s="727">
        <f>ROUND('izolacja wl, ct'!I13,2)</f>
        <v>57.66</v>
      </c>
      <c r="H830" s="704" t="s">
        <v>275</v>
      </c>
      <c r="I830" s="736" t="s">
        <v>276</v>
      </c>
      <c r="J830" s="752">
        <v>25</v>
      </c>
      <c r="K830" s="709"/>
      <c r="L830" s="757"/>
    </row>
    <row r="831" spans="1:12" hidden="1">
      <c r="A831" s="689" t="s">
        <v>43</v>
      </c>
      <c r="B831" s="738" t="s">
        <v>274</v>
      </c>
      <c r="C831" s="764" t="s">
        <v>59</v>
      </c>
      <c r="D831" s="844" t="s">
        <v>33</v>
      </c>
      <c r="E831" s="845" t="s">
        <v>34</v>
      </c>
      <c r="F831" s="736" t="s">
        <v>19</v>
      </c>
      <c r="G831" s="727">
        <f>ROUND('izolacja wl, ct'!I14,2)</f>
        <v>81.89</v>
      </c>
      <c r="H831" s="704" t="s">
        <v>275</v>
      </c>
      <c r="I831" s="736" t="s">
        <v>276</v>
      </c>
      <c r="J831" s="752">
        <v>25</v>
      </c>
      <c r="K831" s="709"/>
      <c r="L831" s="757"/>
    </row>
    <row r="832" spans="1:12" hidden="1">
      <c r="A832" s="689" t="s">
        <v>43</v>
      </c>
      <c r="B832" s="738" t="s">
        <v>274</v>
      </c>
      <c r="C832" s="764" t="s">
        <v>60</v>
      </c>
      <c r="D832" s="844" t="s">
        <v>35</v>
      </c>
      <c r="E832" s="735">
        <v>3</v>
      </c>
      <c r="F832" s="736" t="s">
        <v>19</v>
      </c>
      <c r="G832" s="727">
        <f>ROUND('izolacja wl, ct'!I15,2)</f>
        <v>112.65</v>
      </c>
      <c r="H832" s="704" t="s">
        <v>275</v>
      </c>
      <c r="I832" s="736" t="s">
        <v>276</v>
      </c>
      <c r="J832" s="752">
        <v>30</v>
      </c>
      <c r="K832" s="709"/>
      <c r="L832" s="757"/>
    </row>
    <row r="833" spans="1:12" hidden="1">
      <c r="A833" s="689" t="s">
        <v>43</v>
      </c>
      <c r="B833" s="738" t="s">
        <v>274</v>
      </c>
      <c r="C833" s="764" t="s">
        <v>62</v>
      </c>
      <c r="D833" s="844" t="s">
        <v>37</v>
      </c>
      <c r="E833" s="735">
        <v>4</v>
      </c>
      <c r="F833" s="736" t="s">
        <v>19</v>
      </c>
      <c r="G833" s="727">
        <f>ROUND('izolacja wl, ct'!I16,2)</f>
        <v>160.56</v>
      </c>
      <c r="H833" s="704" t="s">
        <v>275</v>
      </c>
      <c r="I833" s="736" t="s">
        <v>276</v>
      </c>
      <c r="J833" s="752">
        <v>30</v>
      </c>
      <c r="K833" s="709"/>
      <c r="L833" s="757"/>
    </row>
    <row r="834" spans="1:12" hidden="1">
      <c r="A834" s="689" t="s">
        <v>43</v>
      </c>
      <c r="B834" s="738" t="s">
        <v>274</v>
      </c>
      <c r="C834" s="764" t="s">
        <v>63</v>
      </c>
      <c r="D834" s="737" t="s">
        <v>168</v>
      </c>
      <c r="E834" s="735">
        <v>5</v>
      </c>
      <c r="F834" s="736" t="s">
        <v>19</v>
      </c>
      <c r="G834" s="727">
        <f>ROUND('izolacja wl, ct'!I17,2)</f>
        <v>180.06</v>
      </c>
      <c r="H834" s="704" t="s">
        <v>275</v>
      </c>
      <c r="I834" s="736" t="s">
        <v>276</v>
      </c>
      <c r="J834" s="752">
        <v>30</v>
      </c>
      <c r="K834" s="709"/>
      <c r="L834" s="757"/>
    </row>
    <row r="835" spans="1:12" hidden="1">
      <c r="A835" s="689" t="s">
        <v>43</v>
      </c>
      <c r="B835" s="738" t="s">
        <v>274</v>
      </c>
      <c r="C835" s="764" t="s">
        <v>66</v>
      </c>
      <c r="D835" s="737" t="s">
        <v>169</v>
      </c>
      <c r="E835" s="735">
        <v>6</v>
      </c>
      <c r="F835" s="736" t="s">
        <v>19</v>
      </c>
      <c r="G835" s="727">
        <f>ROUND('izolacja wl, ct'!I18,2)</f>
        <v>201.88</v>
      </c>
      <c r="H835" s="704" t="s">
        <v>275</v>
      </c>
      <c r="I835" s="736" t="s">
        <v>276</v>
      </c>
      <c r="J835" s="752">
        <v>35</v>
      </c>
      <c r="K835" s="709"/>
      <c r="L835" s="757"/>
    </row>
    <row r="836" spans="1:12" hidden="1">
      <c r="A836" s="689" t="s">
        <v>43</v>
      </c>
      <c r="B836" s="738" t="s">
        <v>274</v>
      </c>
      <c r="C836" s="764" t="s">
        <v>121</v>
      </c>
      <c r="D836" s="737" t="s">
        <v>170</v>
      </c>
      <c r="E836" s="735">
        <v>8</v>
      </c>
      <c r="F836" s="736" t="s">
        <v>19</v>
      </c>
      <c r="G836" s="727">
        <f>ROUND('izolacja wl, ct'!I19,2)</f>
        <v>239</v>
      </c>
      <c r="H836" s="704" t="s">
        <v>275</v>
      </c>
      <c r="I836" s="736" t="s">
        <v>276</v>
      </c>
      <c r="J836" s="752">
        <v>41</v>
      </c>
      <c r="K836" s="709"/>
      <c r="L836" s="757"/>
    </row>
    <row r="837" spans="1:12" hidden="1">
      <c r="A837" s="689" t="s">
        <v>43</v>
      </c>
      <c r="B837" s="738" t="s">
        <v>274</v>
      </c>
      <c r="C837" s="764" t="s">
        <v>122</v>
      </c>
      <c r="D837" s="737" t="s">
        <v>171</v>
      </c>
      <c r="E837" s="735">
        <v>10</v>
      </c>
      <c r="F837" s="736" t="s">
        <v>19</v>
      </c>
      <c r="G837" s="727">
        <f>ROUND('izolacja wl, ct'!I20,2)</f>
        <v>278.39</v>
      </c>
      <c r="H837" s="704" t="s">
        <v>275</v>
      </c>
      <c r="I837" s="736" t="s">
        <v>276</v>
      </c>
      <c r="J837" s="752">
        <v>47</v>
      </c>
      <c r="K837" s="709"/>
      <c r="L837" s="757"/>
    </row>
    <row r="838" spans="1:12" hidden="1">
      <c r="A838" s="689" t="s">
        <v>43</v>
      </c>
      <c r="B838" s="738" t="s">
        <v>274</v>
      </c>
      <c r="C838" s="764" t="s">
        <v>156</v>
      </c>
      <c r="D838" s="737" t="s">
        <v>172</v>
      </c>
      <c r="E838" s="735">
        <v>12</v>
      </c>
      <c r="F838" s="736" t="s">
        <v>19</v>
      </c>
      <c r="G838" s="727">
        <f>ROUND('izolacja wl, ct'!I21,2)</f>
        <v>315.58</v>
      </c>
      <c r="H838" s="704" t="s">
        <v>275</v>
      </c>
      <c r="I838" s="736" t="s">
        <v>276</v>
      </c>
      <c r="J838" s="752">
        <v>54</v>
      </c>
      <c r="K838" s="709"/>
      <c r="L838" s="757"/>
    </row>
    <row r="839" spans="1:12" hidden="1">
      <c r="A839" s="689" t="s">
        <v>43</v>
      </c>
      <c r="B839" s="738" t="s">
        <v>274</v>
      </c>
      <c r="C839" s="764" t="s">
        <v>158</v>
      </c>
      <c r="D839" s="737" t="s">
        <v>175</v>
      </c>
      <c r="E839" s="735">
        <v>14</v>
      </c>
      <c r="F839" s="736" t="s">
        <v>19</v>
      </c>
      <c r="G839" s="727">
        <f>ROUND('izolacja wl, ct'!I22,2)</f>
        <v>338.74</v>
      </c>
      <c r="H839" s="704" t="s">
        <v>275</v>
      </c>
      <c r="I839" s="736" t="s">
        <v>276</v>
      </c>
      <c r="J839" s="752">
        <v>62</v>
      </c>
      <c r="K839" s="709"/>
      <c r="L839" s="757"/>
    </row>
    <row r="840" spans="1:12" hidden="1">
      <c r="A840" s="689" t="s">
        <v>43</v>
      </c>
      <c r="B840" s="738" t="s">
        <v>274</v>
      </c>
      <c r="C840" s="764" t="s">
        <v>176</v>
      </c>
      <c r="D840" s="737" t="s">
        <v>177</v>
      </c>
      <c r="E840" s="735">
        <v>16</v>
      </c>
      <c r="F840" s="736" t="s">
        <v>19</v>
      </c>
      <c r="G840" s="727">
        <f>ROUND('izolacja wl, ct'!I23,2)</f>
        <v>377.92</v>
      </c>
      <c r="H840" s="704" t="s">
        <v>275</v>
      </c>
      <c r="I840" s="736" t="s">
        <v>276</v>
      </c>
      <c r="J840" s="752">
        <v>68</v>
      </c>
      <c r="K840" s="709"/>
      <c r="L840" s="757"/>
    </row>
    <row r="841" spans="1:12" hidden="1">
      <c r="A841" s="689" t="s">
        <v>43</v>
      </c>
      <c r="B841" s="691"/>
      <c r="C841" s="766"/>
      <c r="D841" s="711"/>
      <c r="E841" s="692"/>
      <c r="F841" s="693"/>
      <c r="G841" s="723"/>
      <c r="H841" s="723"/>
      <c r="I841" s="693"/>
      <c r="J841" s="690"/>
      <c r="K841" s="709"/>
      <c r="L841" s="757"/>
    </row>
    <row r="842" spans="1:12" hidden="1">
      <c r="A842" s="689" t="s">
        <v>43</v>
      </c>
      <c r="B842" s="738" t="s">
        <v>274</v>
      </c>
      <c r="C842" s="764" t="s">
        <v>47</v>
      </c>
      <c r="D842" s="705" t="s">
        <v>270</v>
      </c>
      <c r="E842" s="744">
        <v>0.5</v>
      </c>
      <c r="F842" s="736" t="s">
        <v>19</v>
      </c>
      <c r="G842" s="727">
        <f>ROUND('izolacja wl, ct'!I63,2)</f>
        <v>15.23</v>
      </c>
      <c r="H842" s="704" t="s">
        <v>275</v>
      </c>
      <c r="I842" s="736" t="s">
        <v>277</v>
      </c>
      <c r="J842" s="752">
        <v>25</v>
      </c>
      <c r="K842" s="709"/>
      <c r="L842" s="757"/>
    </row>
    <row r="843" spans="1:12" hidden="1">
      <c r="A843" s="689" t="s">
        <v>43</v>
      </c>
      <c r="B843" s="738" t="s">
        <v>274</v>
      </c>
      <c r="C843" s="764" t="s">
        <v>49</v>
      </c>
      <c r="D843" s="705" t="s">
        <v>104</v>
      </c>
      <c r="E843" s="744">
        <v>0.75</v>
      </c>
      <c r="F843" s="736" t="s">
        <v>19</v>
      </c>
      <c r="G843" s="727">
        <f>ROUND('izolacja wl, ct'!I64,2)</f>
        <v>24.88</v>
      </c>
      <c r="H843" s="704" t="s">
        <v>275</v>
      </c>
      <c r="I843" s="736" t="s">
        <v>277</v>
      </c>
      <c r="J843" s="752">
        <v>25</v>
      </c>
      <c r="K843" s="709"/>
      <c r="L843" s="757"/>
    </row>
    <row r="844" spans="1:12" hidden="1">
      <c r="A844" s="689" t="s">
        <v>43</v>
      </c>
      <c r="B844" s="738" t="s">
        <v>274</v>
      </c>
      <c r="C844" s="764" t="s">
        <v>51</v>
      </c>
      <c r="D844" s="705" t="s">
        <v>105</v>
      </c>
      <c r="E844" s="744">
        <v>1</v>
      </c>
      <c r="F844" s="736" t="s">
        <v>19</v>
      </c>
      <c r="G844" s="727">
        <f>ROUND('izolacja wl, ct'!I65,2)</f>
        <v>29.61</v>
      </c>
      <c r="H844" s="704" t="s">
        <v>275</v>
      </c>
      <c r="I844" s="736" t="s">
        <v>277</v>
      </c>
      <c r="J844" s="752">
        <v>25</v>
      </c>
      <c r="K844" s="709"/>
      <c r="L844" s="757"/>
    </row>
    <row r="845" spans="1:12" hidden="1">
      <c r="A845" s="689" t="s">
        <v>43</v>
      </c>
      <c r="B845" s="738" t="s">
        <v>274</v>
      </c>
      <c r="C845" s="764" t="s">
        <v>53</v>
      </c>
      <c r="D845" s="705" t="s">
        <v>106</v>
      </c>
      <c r="E845" s="744">
        <v>1.25</v>
      </c>
      <c r="F845" s="736" t="s">
        <v>19</v>
      </c>
      <c r="G845" s="727">
        <f>ROUND('izolacja wl, ct'!I66,2)</f>
        <v>36.33</v>
      </c>
      <c r="H845" s="704" t="s">
        <v>275</v>
      </c>
      <c r="I845" s="736" t="s">
        <v>277</v>
      </c>
      <c r="J845" s="752">
        <v>25</v>
      </c>
      <c r="K845" s="709"/>
      <c r="L845" s="757"/>
    </row>
    <row r="846" spans="1:12" hidden="1">
      <c r="A846" s="689" t="s">
        <v>43</v>
      </c>
      <c r="B846" s="738" t="s">
        <v>274</v>
      </c>
      <c r="C846" s="764" t="s">
        <v>55</v>
      </c>
      <c r="D846" s="705" t="s">
        <v>107</v>
      </c>
      <c r="E846" s="744">
        <v>1.5</v>
      </c>
      <c r="F846" s="736" t="s">
        <v>19</v>
      </c>
      <c r="G846" s="727">
        <f>ROUND('izolacja wl, ct'!I67,2)</f>
        <v>64.819999999999993</v>
      </c>
      <c r="H846" s="704" t="s">
        <v>275</v>
      </c>
      <c r="I846" s="736" t="s">
        <v>277</v>
      </c>
      <c r="J846" s="752">
        <v>25</v>
      </c>
      <c r="K846" s="709"/>
      <c r="L846" s="757"/>
    </row>
    <row r="847" spans="1:12" hidden="1">
      <c r="A847" s="689" t="s">
        <v>43</v>
      </c>
      <c r="B847" s="738" t="s">
        <v>274</v>
      </c>
      <c r="C847" s="764" t="s">
        <v>57</v>
      </c>
      <c r="D847" s="705" t="s">
        <v>31</v>
      </c>
      <c r="E847" s="735">
        <v>2</v>
      </c>
      <c r="F847" s="736" t="s">
        <v>19</v>
      </c>
      <c r="G847" s="727">
        <f>ROUND('izolacja wl, ct'!I68,2)</f>
        <v>127.63</v>
      </c>
      <c r="H847" s="704" t="s">
        <v>275</v>
      </c>
      <c r="I847" s="736" t="s">
        <v>277</v>
      </c>
      <c r="J847" s="752">
        <v>43</v>
      </c>
      <c r="K847" s="709"/>
      <c r="L847" s="757"/>
    </row>
    <row r="848" spans="1:12" hidden="1">
      <c r="A848" s="689" t="s">
        <v>43</v>
      </c>
      <c r="B848" s="738" t="s">
        <v>274</v>
      </c>
      <c r="C848" s="764" t="s">
        <v>59</v>
      </c>
      <c r="D848" s="844" t="s">
        <v>33</v>
      </c>
      <c r="E848" s="845" t="s">
        <v>34</v>
      </c>
      <c r="F848" s="736" t="s">
        <v>19</v>
      </c>
      <c r="G848" s="727">
        <f>ROUND('izolacja wl, ct'!I69,2)</f>
        <v>174.61</v>
      </c>
      <c r="H848" s="704" t="s">
        <v>275</v>
      </c>
      <c r="I848" s="736" t="s">
        <v>277</v>
      </c>
      <c r="J848" s="752">
        <v>49</v>
      </c>
      <c r="K848" s="709"/>
      <c r="L848" s="757"/>
    </row>
    <row r="849" spans="1:12" hidden="1">
      <c r="A849" s="689" t="s">
        <v>43</v>
      </c>
      <c r="B849" s="738" t="s">
        <v>274</v>
      </c>
      <c r="C849" s="764" t="s">
        <v>60</v>
      </c>
      <c r="D849" s="844" t="s">
        <v>35</v>
      </c>
      <c r="E849" s="735">
        <v>3</v>
      </c>
      <c r="F849" s="736" t="s">
        <v>19</v>
      </c>
      <c r="G849" s="727">
        <f>ROUND('izolacja wl, ct'!I70,2)</f>
        <v>258.75</v>
      </c>
      <c r="H849" s="704" t="s">
        <v>275</v>
      </c>
      <c r="I849" s="736" t="s">
        <v>277</v>
      </c>
      <c r="J849" s="752">
        <v>58</v>
      </c>
      <c r="K849" s="709"/>
      <c r="L849" s="757"/>
    </row>
    <row r="850" spans="1:12" hidden="1">
      <c r="A850" s="689" t="s">
        <v>43</v>
      </c>
      <c r="B850" s="738" t="s">
        <v>274</v>
      </c>
      <c r="C850" s="764" t="s">
        <v>62</v>
      </c>
      <c r="D850" s="844" t="s">
        <v>37</v>
      </c>
      <c r="E850" s="735">
        <v>4</v>
      </c>
      <c r="F850" s="736" t="s">
        <v>19</v>
      </c>
      <c r="G850" s="727">
        <f>ROUND('izolacja wl, ct'!I71,2)</f>
        <v>370.08</v>
      </c>
      <c r="H850" s="704" t="s">
        <v>275</v>
      </c>
      <c r="I850" s="736" t="s">
        <v>277</v>
      </c>
      <c r="J850" s="752">
        <v>68</v>
      </c>
      <c r="K850" s="709"/>
      <c r="L850" s="757"/>
    </row>
    <row r="851" spans="1:12" hidden="1">
      <c r="A851" s="689" t="s">
        <v>43</v>
      </c>
      <c r="B851" s="738" t="s">
        <v>274</v>
      </c>
      <c r="C851" s="764" t="s">
        <v>63</v>
      </c>
      <c r="D851" s="737" t="s">
        <v>168</v>
      </c>
      <c r="E851" s="735">
        <v>5</v>
      </c>
      <c r="F851" s="736" t="s">
        <v>19</v>
      </c>
      <c r="G851" s="727">
        <f>ROUND('izolacja wl, ct'!I72,2)</f>
        <v>406.2</v>
      </c>
      <c r="H851" s="704" t="s">
        <v>275</v>
      </c>
      <c r="I851" s="736" t="s">
        <v>277</v>
      </c>
      <c r="J851" s="752">
        <v>74</v>
      </c>
      <c r="K851" s="709"/>
      <c r="L851" s="757"/>
    </row>
    <row r="852" spans="1:12" hidden="1">
      <c r="A852" s="689" t="s">
        <v>43</v>
      </c>
      <c r="B852" s="738" t="s">
        <v>274</v>
      </c>
      <c r="C852" s="764" t="s">
        <v>66</v>
      </c>
      <c r="D852" s="737" t="s">
        <v>169</v>
      </c>
      <c r="E852" s="735">
        <v>6</v>
      </c>
      <c r="F852" s="736" t="s">
        <v>19</v>
      </c>
      <c r="G852" s="727">
        <f>ROUND('izolacja wl, ct'!I73,2)</f>
        <v>446.75</v>
      </c>
      <c r="H852" s="704" t="s">
        <v>275</v>
      </c>
      <c r="I852" s="736" t="s">
        <v>277</v>
      </c>
      <c r="J852" s="752">
        <v>81</v>
      </c>
      <c r="K852" s="709"/>
      <c r="L852" s="757"/>
    </row>
    <row r="853" spans="1:12" hidden="1">
      <c r="A853" s="689" t="s">
        <v>43</v>
      </c>
      <c r="B853" s="738" t="s">
        <v>274</v>
      </c>
      <c r="C853" s="764" t="s">
        <v>121</v>
      </c>
      <c r="D853" s="737" t="s">
        <v>170</v>
      </c>
      <c r="E853" s="735">
        <v>8</v>
      </c>
      <c r="F853" s="736" t="s">
        <v>19</v>
      </c>
      <c r="G853" s="727">
        <f>ROUND('izolacja wl, ct'!I74,2)</f>
        <v>517.12</v>
      </c>
      <c r="H853" s="704" t="s">
        <v>275</v>
      </c>
      <c r="I853" s="736" t="s">
        <v>277</v>
      </c>
      <c r="J853" s="752">
        <v>95</v>
      </c>
      <c r="K853" s="709"/>
      <c r="L853" s="757"/>
    </row>
    <row r="854" spans="1:12" hidden="1">
      <c r="A854" s="689" t="s">
        <v>43</v>
      </c>
      <c r="B854" s="738" t="s">
        <v>274</v>
      </c>
      <c r="C854" s="764" t="s">
        <v>122</v>
      </c>
      <c r="D854" s="737" t="s">
        <v>171</v>
      </c>
      <c r="E854" s="735">
        <v>10</v>
      </c>
      <c r="F854" s="736" t="s">
        <v>19</v>
      </c>
      <c r="G854" s="727">
        <f>ROUND('izolacja wl, ct'!I75,2)</f>
        <v>591.78</v>
      </c>
      <c r="H854" s="704" t="s">
        <v>275</v>
      </c>
      <c r="I854" s="736" t="s">
        <v>277</v>
      </c>
      <c r="J854" s="752">
        <v>108</v>
      </c>
      <c r="K854" s="709"/>
      <c r="L854" s="757"/>
    </row>
    <row r="855" spans="1:12" hidden="1">
      <c r="A855" s="689" t="s">
        <v>43</v>
      </c>
      <c r="B855" s="738" t="s">
        <v>274</v>
      </c>
      <c r="C855" s="764" t="s">
        <v>156</v>
      </c>
      <c r="D855" s="737" t="s">
        <v>172</v>
      </c>
      <c r="E855" s="735">
        <v>12</v>
      </c>
      <c r="F855" s="736" t="s">
        <v>19</v>
      </c>
      <c r="G855" s="727">
        <f>ROUND('izolacja wl, ct'!I76,2)</f>
        <v>662.29</v>
      </c>
      <c r="H855" s="704" t="s">
        <v>275</v>
      </c>
      <c r="I855" s="736" t="s">
        <v>277</v>
      </c>
      <c r="J855" s="752">
        <v>122</v>
      </c>
      <c r="K855" s="709"/>
      <c r="L855" s="757"/>
    </row>
    <row r="856" spans="1:12" hidden="1">
      <c r="A856" s="689" t="s">
        <v>43</v>
      </c>
      <c r="B856" s="738" t="s">
        <v>274</v>
      </c>
      <c r="C856" s="764" t="s">
        <v>158</v>
      </c>
      <c r="D856" s="737" t="s">
        <v>175</v>
      </c>
      <c r="E856" s="735">
        <v>14</v>
      </c>
      <c r="F856" s="736" t="s">
        <v>19</v>
      </c>
      <c r="G856" s="727">
        <f>ROUND('izolacja wl, ct'!I77,2)</f>
        <v>706.2</v>
      </c>
      <c r="H856" s="704" t="s">
        <v>275</v>
      </c>
      <c r="I856" s="736" t="s">
        <v>277</v>
      </c>
      <c r="J856" s="752">
        <v>122</v>
      </c>
      <c r="K856" s="709"/>
      <c r="L856" s="757"/>
    </row>
    <row r="857" spans="1:12" hidden="1">
      <c r="A857" s="689" t="s">
        <v>43</v>
      </c>
      <c r="B857" s="738" t="s">
        <v>274</v>
      </c>
      <c r="C857" s="764" t="s">
        <v>176</v>
      </c>
      <c r="D857" s="737" t="s">
        <v>177</v>
      </c>
      <c r="E857" s="735">
        <v>16</v>
      </c>
      <c r="F857" s="736" t="s">
        <v>19</v>
      </c>
      <c r="G857" s="727">
        <f>ROUND('izolacja wl, ct'!I78,2)</f>
        <v>783.61</v>
      </c>
      <c r="H857" s="704" t="s">
        <v>275</v>
      </c>
      <c r="I857" s="736" t="s">
        <v>277</v>
      </c>
      <c r="J857" s="752">
        <v>151</v>
      </c>
      <c r="K857" s="709"/>
      <c r="L857" s="757"/>
    </row>
    <row r="858" spans="1:12" hidden="1">
      <c r="A858" s="689" t="s">
        <v>43</v>
      </c>
      <c r="B858" s="691"/>
      <c r="C858" s="766"/>
      <c r="D858" s="711"/>
      <c r="E858" s="692"/>
      <c r="F858" s="693"/>
      <c r="G858" s="723"/>
      <c r="H858" s="695"/>
      <c r="I858" s="693"/>
      <c r="J858" s="690"/>
      <c r="K858" s="709"/>
      <c r="L858" s="757"/>
    </row>
    <row r="859" spans="1:12" hidden="1">
      <c r="A859" s="689" t="s">
        <v>43</v>
      </c>
      <c r="B859" s="738" t="s">
        <v>274</v>
      </c>
      <c r="C859" s="764" t="s">
        <v>47</v>
      </c>
      <c r="D859" s="705" t="s">
        <v>270</v>
      </c>
      <c r="E859" s="744">
        <v>0.5</v>
      </c>
      <c r="F859" s="736" t="s">
        <v>19</v>
      </c>
      <c r="G859" s="727">
        <f>ROUND('izolacja wl, ct'!I185,2)</f>
        <v>5.74</v>
      </c>
      <c r="H859" s="704" t="s">
        <v>278</v>
      </c>
      <c r="I859" s="736" t="s">
        <v>276</v>
      </c>
      <c r="J859" s="752">
        <v>25</v>
      </c>
      <c r="K859" s="709"/>
      <c r="L859" s="757"/>
    </row>
    <row r="860" spans="1:12" hidden="1">
      <c r="A860" s="689" t="s">
        <v>43</v>
      </c>
      <c r="B860" s="738" t="s">
        <v>274</v>
      </c>
      <c r="C860" s="764" t="s">
        <v>49</v>
      </c>
      <c r="D860" s="705" t="s">
        <v>104</v>
      </c>
      <c r="E860" s="744">
        <v>0.75</v>
      </c>
      <c r="F860" s="736" t="s">
        <v>19</v>
      </c>
      <c r="G860" s="727">
        <f>ROUND('izolacja wl, ct'!I186,2)</f>
        <v>8.52</v>
      </c>
      <c r="H860" s="704" t="s">
        <v>278</v>
      </c>
      <c r="I860" s="736" t="s">
        <v>276</v>
      </c>
      <c r="J860" s="752">
        <v>25</v>
      </c>
      <c r="K860" s="709"/>
      <c r="L860" s="757"/>
    </row>
    <row r="861" spans="1:12" hidden="1">
      <c r="A861" s="689" t="s">
        <v>43</v>
      </c>
      <c r="B861" s="738" t="s">
        <v>274</v>
      </c>
      <c r="C861" s="764" t="s">
        <v>51</v>
      </c>
      <c r="D861" s="705" t="s">
        <v>105</v>
      </c>
      <c r="E861" s="744">
        <v>1</v>
      </c>
      <c r="F861" s="736" t="s">
        <v>19</v>
      </c>
      <c r="G861" s="727">
        <f>ROUND('izolacja wl, ct'!I187,2)</f>
        <v>10.34</v>
      </c>
      <c r="H861" s="704" t="s">
        <v>278</v>
      </c>
      <c r="I861" s="736" t="s">
        <v>276</v>
      </c>
      <c r="J861" s="752">
        <v>25</v>
      </c>
      <c r="K861" s="709"/>
      <c r="L861" s="757"/>
    </row>
    <row r="862" spans="1:12" hidden="1">
      <c r="A862" s="689" t="s">
        <v>43</v>
      </c>
      <c r="B862" s="738" t="s">
        <v>274</v>
      </c>
      <c r="C862" s="764" t="s">
        <v>53</v>
      </c>
      <c r="D862" s="705" t="s">
        <v>106</v>
      </c>
      <c r="E862" s="744">
        <v>1.25</v>
      </c>
      <c r="F862" s="736" t="s">
        <v>19</v>
      </c>
      <c r="G862" s="727">
        <f>ROUND('izolacja wl, ct'!I188,2)</f>
        <v>11.64</v>
      </c>
      <c r="H862" s="704" t="s">
        <v>278</v>
      </c>
      <c r="I862" s="736" t="s">
        <v>276</v>
      </c>
      <c r="J862" s="752">
        <v>25</v>
      </c>
      <c r="K862" s="709"/>
      <c r="L862" s="757"/>
    </row>
    <row r="863" spans="1:12" hidden="1">
      <c r="A863" s="689" t="s">
        <v>43</v>
      </c>
      <c r="B863" s="738" t="s">
        <v>274</v>
      </c>
      <c r="C863" s="764" t="s">
        <v>55</v>
      </c>
      <c r="D863" s="705" t="s">
        <v>107</v>
      </c>
      <c r="E863" s="744">
        <v>1.5</v>
      </c>
      <c r="F863" s="736" t="s">
        <v>19</v>
      </c>
      <c r="G863" s="727">
        <f>ROUND('izolacja wl, ct'!I189,2)</f>
        <v>25.91</v>
      </c>
      <c r="H863" s="704" t="s">
        <v>278</v>
      </c>
      <c r="I863" s="736" t="s">
        <v>276</v>
      </c>
      <c r="J863" s="752">
        <v>25</v>
      </c>
      <c r="K863" s="709"/>
      <c r="L863" s="757"/>
    </row>
    <row r="864" spans="1:12" hidden="1">
      <c r="A864" s="689" t="s">
        <v>43</v>
      </c>
      <c r="B864" s="738" t="s">
        <v>274</v>
      </c>
      <c r="C864" s="764" t="s">
        <v>57</v>
      </c>
      <c r="D864" s="705" t="s">
        <v>31</v>
      </c>
      <c r="E864" s="735">
        <v>2</v>
      </c>
      <c r="F864" s="736" t="s">
        <v>19</v>
      </c>
      <c r="G864" s="727">
        <f>ROUND('izolacja wl, ct'!I190,2)</f>
        <v>50.07</v>
      </c>
      <c r="H864" s="704" t="s">
        <v>278</v>
      </c>
      <c r="I864" s="736" t="s">
        <v>276</v>
      </c>
      <c r="J864" s="752">
        <v>25</v>
      </c>
      <c r="K864" s="709"/>
      <c r="L864" s="757"/>
    </row>
    <row r="865" spans="1:12" hidden="1">
      <c r="A865" s="689" t="s">
        <v>43</v>
      </c>
      <c r="B865" s="738" t="s">
        <v>274</v>
      </c>
      <c r="C865" s="764" t="s">
        <v>59</v>
      </c>
      <c r="D865" s="844" t="s">
        <v>33</v>
      </c>
      <c r="E865" s="845" t="s">
        <v>34</v>
      </c>
      <c r="F865" s="736" t="s">
        <v>19</v>
      </c>
      <c r="G865" s="727">
        <f>ROUND('izolacja wl, ct'!I191,2)</f>
        <v>75.98</v>
      </c>
      <c r="H865" s="704" t="s">
        <v>278</v>
      </c>
      <c r="I865" s="736" t="s">
        <v>276</v>
      </c>
      <c r="J865" s="752">
        <v>25</v>
      </c>
      <c r="K865" s="709"/>
      <c r="L865" s="757"/>
    </row>
    <row r="866" spans="1:12" hidden="1">
      <c r="A866" s="689" t="s">
        <v>43</v>
      </c>
      <c r="B866" s="738" t="s">
        <v>274</v>
      </c>
      <c r="C866" s="764" t="s">
        <v>60</v>
      </c>
      <c r="D866" s="844" t="s">
        <v>35</v>
      </c>
      <c r="E866" s="735">
        <v>3</v>
      </c>
      <c r="F866" s="736" t="s">
        <v>19</v>
      </c>
      <c r="G866" s="727">
        <f>ROUND('izolacja wl, ct'!I192,2)</f>
        <v>152.15</v>
      </c>
      <c r="H866" s="704" t="s">
        <v>278</v>
      </c>
      <c r="I866" s="736" t="s">
        <v>276</v>
      </c>
      <c r="J866" s="752">
        <v>30</v>
      </c>
      <c r="K866" s="709"/>
      <c r="L866" s="757"/>
    </row>
    <row r="867" spans="1:12" hidden="1">
      <c r="A867" s="689" t="s">
        <v>43</v>
      </c>
      <c r="B867" s="738" t="s">
        <v>274</v>
      </c>
      <c r="C867" s="764" t="s">
        <v>62</v>
      </c>
      <c r="D867" s="844" t="s">
        <v>37</v>
      </c>
      <c r="E867" s="735">
        <v>4</v>
      </c>
      <c r="F867" s="736" t="s">
        <v>19</v>
      </c>
      <c r="G867" s="727">
        <f>ROUND('izolacja wl, ct'!I193,2)</f>
        <v>156.12</v>
      </c>
      <c r="H867" s="704" t="s">
        <v>278</v>
      </c>
      <c r="I867" s="736" t="s">
        <v>276</v>
      </c>
      <c r="J867" s="752">
        <v>30</v>
      </c>
      <c r="K867" s="709"/>
      <c r="L867" s="757"/>
    </row>
    <row r="868" spans="1:12" hidden="1">
      <c r="A868" s="689" t="s">
        <v>43</v>
      </c>
      <c r="B868" s="738" t="s">
        <v>274</v>
      </c>
      <c r="C868" s="764" t="s">
        <v>63</v>
      </c>
      <c r="D868" s="737" t="s">
        <v>168</v>
      </c>
      <c r="E868" s="735">
        <v>5</v>
      </c>
      <c r="F868" s="736" t="s">
        <v>19</v>
      </c>
      <c r="G868" s="727">
        <f>ROUND('izolacja wl, ct'!I194,2)</f>
        <v>170.34</v>
      </c>
      <c r="H868" s="704" t="s">
        <v>278</v>
      </c>
      <c r="I868" s="736" t="s">
        <v>276</v>
      </c>
      <c r="J868" s="752">
        <v>30</v>
      </c>
      <c r="K868" s="709"/>
      <c r="L868" s="757"/>
    </row>
    <row r="869" spans="1:12" hidden="1">
      <c r="A869" s="689" t="s">
        <v>43</v>
      </c>
      <c r="B869" s="738" t="s">
        <v>274</v>
      </c>
      <c r="C869" s="764" t="s">
        <v>66</v>
      </c>
      <c r="D869" s="737" t="s">
        <v>169</v>
      </c>
      <c r="E869" s="735">
        <v>6</v>
      </c>
      <c r="F869" s="736" t="s">
        <v>19</v>
      </c>
      <c r="G869" s="727">
        <f>ROUND('izolacja wl, ct'!I195,2)</f>
        <v>189.72</v>
      </c>
      <c r="H869" s="704" t="s">
        <v>278</v>
      </c>
      <c r="I869" s="736" t="s">
        <v>276</v>
      </c>
      <c r="J869" s="752">
        <v>35</v>
      </c>
      <c r="K869" s="709"/>
      <c r="L869" s="757"/>
    </row>
    <row r="870" spans="1:12" hidden="1">
      <c r="A870" s="689" t="s">
        <v>43</v>
      </c>
      <c r="B870" s="738" t="s">
        <v>274</v>
      </c>
      <c r="C870" s="764" t="s">
        <v>121</v>
      </c>
      <c r="D870" s="737" t="s">
        <v>170</v>
      </c>
      <c r="E870" s="735">
        <v>8</v>
      </c>
      <c r="F870" s="736" t="s">
        <v>19</v>
      </c>
      <c r="G870" s="727">
        <f>ROUND('izolacja wl, ct'!I196,2)</f>
        <v>232.39</v>
      </c>
      <c r="H870" s="704" t="s">
        <v>278</v>
      </c>
      <c r="I870" s="736" t="s">
        <v>276</v>
      </c>
      <c r="J870" s="752">
        <v>41</v>
      </c>
      <c r="K870" s="709"/>
      <c r="L870" s="757"/>
    </row>
    <row r="871" spans="1:12" hidden="1">
      <c r="A871" s="689" t="s">
        <v>43</v>
      </c>
      <c r="B871" s="738" t="s">
        <v>274</v>
      </c>
      <c r="C871" s="764" t="s">
        <v>122</v>
      </c>
      <c r="D871" s="737" t="s">
        <v>171</v>
      </c>
      <c r="E871" s="735">
        <v>10</v>
      </c>
      <c r="F871" s="736" t="s">
        <v>19</v>
      </c>
      <c r="G871" s="727">
        <f>ROUND('izolacja wl, ct'!I197,2)</f>
        <v>270.64999999999998</v>
      </c>
      <c r="H871" s="704" t="s">
        <v>278</v>
      </c>
      <c r="I871" s="736" t="s">
        <v>276</v>
      </c>
      <c r="J871" s="752">
        <v>47</v>
      </c>
      <c r="K871" s="709"/>
      <c r="L871" s="757"/>
    </row>
    <row r="872" spans="1:12" hidden="1">
      <c r="A872" s="689" t="s">
        <v>43</v>
      </c>
      <c r="B872" s="738" t="s">
        <v>274</v>
      </c>
      <c r="C872" s="764" t="s">
        <v>156</v>
      </c>
      <c r="D872" s="737" t="s">
        <v>172</v>
      </c>
      <c r="E872" s="735">
        <v>12</v>
      </c>
      <c r="F872" s="736" t="s">
        <v>19</v>
      </c>
      <c r="G872" s="727">
        <f>ROUND('izolacja wl, ct'!I198,2)</f>
        <v>306.79000000000002</v>
      </c>
      <c r="H872" s="704" t="s">
        <v>278</v>
      </c>
      <c r="I872" s="736" t="s">
        <v>276</v>
      </c>
      <c r="J872" s="752">
        <v>54</v>
      </c>
      <c r="K872" s="709"/>
      <c r="L872" s="757"/>
    </row>
    <row r="873" spans="1:12" hidden="1">
      <c r="A873" s="689" t="s">
        <v>43</v>
      </c>
      <c r="B873" s="738" t="s">
        <v>274</v>
      </c>
      <c r="C873" s="764" t="s">
        <v>158</v>
      </c>
      <c r="D873" s="737" t="s">
        <v>175</v>
      </c>
      <c r="E873" s="735">
        <v>14</v>
      </c>
      <c r="F873" s="736" t="s">
        <v>19</v>
      </c>
      <c r="G873" s="727">
        <f>ROUND('izolacja wl, ct'!I199,2)</f>
        <v>329.3</v>
      </c>
      <c r="H873" s="704" t="s">
        <v>278</v>
      </c>
      <c r="I873" s="736" t="s">
        <v>276</v>
      </c>
      <c r="J873" s="752">
        <v>62</v>
      </c>
      <c r="K873" s="709"/>
      <c r="L873" s="757"/>
    </row>
    <row r="874" spans="1:12" hidden="1">
      <c r="A874" s="689" t="s">
        <v>43</v>
      </c>
      <c r="B874" s="738" t="s">
        <v>274</v>
      </c>
      <c r="C874" s="764" t="s">
        <v>176</v>
      </c>
      <c r="D874" s="737" t="s">
        <v>177</v>
      </c>
      <c r="E874" s="735">
        <v>16</v>
      </c>
      <c r="F874" s="736" t="s">
        <v>19</v>
      </c>
      <c r="G874" s="727">
        <f>ROUND('izolacja wl, ct'!I200,2)</f>
        <v>374.31</v>
      </c>
      <c r="H874" s="704" t="s">
        <v>278</v>
      </c>
      <c r="I874" s="736" t="s">
        <v>276</v>
      </c>
      <c r="J874" s="752">
        <v>68</v>
      </c>
      <c r="K874" s="709"/>
      <c r="L874" s="757"/>
    </row>
    <row r="875" spans="1:12" hidden="1">
      <c r="A875" s="689" t="s">
        <v>43</v>
      </c>
      <c r="B875" s="691"/>
      <c r="C875" s="766"/>
      <c r="D875" s="711"/>
      <c r="E875" s="692"/>
      <c r="F875" s="693"/>
      <c r="G875" s="723"/>
      <c r="H875" s="695"/>
      <c r="I875" s="693"/>
      <c r="J875" s="690"/>
      <c r="K875" s="709"/>
      <c r="L875" s="757"/>
    </row>
    <row r="876" spans="1:12" hidden="1">
      <c r="A876" s="689" t="s">
        <v>43</v>
      </c>
      <c r="B876" s="738" t="s">
        <v>274</v>
      </c>
      <c r="C876" s="764" t="s">
        <v>47</v>
      </c>
      <c r="D876" s="705" t="s">
        <v>270</v>
      </c>
      <c r="E876" s="744">
        <v>0.5</v>
      </c>
      <c r="F876" s="736" t="s">
        <v>19</v>
      </c>
      <c r="G876" s="727">
        <f>ROUND('izolacja wl, ct'!I222,2)</f>
        <v>13.65</v>
      </c>
      <c r="H876" s="704" t="s">
        <v>278</v>
      </c>
      <c r="I876" s="736" t="s">
        <v>277</v>
      </c>
      <c r="J876" s="752">
        <v>25</v>
      </c>
      <c r="K876" s="709"/>
      <c r="L876" s="757"/>
    </row>
    <row r="877" spans="1:12" hidden="1">
      <c r="A877" s="689" t="s">
        <v>43</v>
      </c>
      <c r="B877" s="738" t="s">
        <v>274</v>
      </c>
      <c r="C877" s="764" t="s">
        <v>49</v>
      </c>
      <c r="D877" s="705" t="s">
        <v>104</v>
      </c>
      <c r="E877" s="744">
        <v>0.75</v>
      </c>
      <c r="F877" s="736" t="s">
        <v>19</v>
      </c>
      <c r="G877" s="727">
        <f>ROUND('izolacja wl, ct'!I223,2)</f>
        <v>31.69</v>
      </c>
      <c r="H877" s="704" t="s">
        <v>278</v>
      </c>
      <c r="I877" s="736" t="s">
        <v>277</v>
      </c>
      <c r="J877" s="752">
        <v>25</v>
      </c>
      <c r="K877" s="709"/>
      <c r="L877" s="757"/>
    </row>
    <row r="878" spans="1:12" hidden="1">
      <c r="A878" s="689" t="s">
        <v>43</v>
      </c>
      <c r="B878" s="738" t="s">
        <v>274</v>
      </c>
      <c r="C878" s="764" t="s">
        <v>51</v>
      </c>
      <c r="D878" s="705" t="s">
        <v>105</v>
      </c>
      <c r="E878" s="744">
        <v>1</v>
      </c>
      <c r="F878" s="736" t="s">
        <v>19</v>
      </c>
      <c r="G878" s="727">
        <f>ROUND('izolacja wl, ct'!I224,2)</f>
        <v>37.049999999999997</v>
      </c>
      <c r="H878" s="704" t="s">
        <v>278</v>
      </c>
      <c r="I878" s="736" t="s">
        <v>277</v>
      </c>
      <c r="J878" s="752">
        <v>25</v>
      </c>
      <c r="K878" s="709"/>
      <c r="L878" s="757"/>
    </row>
    <row r="879" spans="1:12" hidden="1">
      <c r="A879" s="689" t="s">
        <v>43</v>
      </c>
      <c r="B879" s="738" t="s">
        <v>274</v>
      </c>
      <c r="C879" s="764" t="s">
        <v>53</v>
      </c>
      <c r="D879" s="705" t="s">
        <v>106</v>
      </c>
      <c r="E879" s="744">
        <v>1.25</v>
      </c>
      <c r="F879" s="736" t="s">
        <v>19</v>
      </c>
      <c r="G879" s="727">
        <f>ROUND('izolacja wl, ct'!I225,2)</f>
        <v>45.16</v>
      </c>
      <c r="H879" s="704" t="s">
        <v>278</v>
      </c>
      <c r="I879" s="736" t="s">
        <v>277</v>
      </c>
      <c r="J879" s="752">
        <v>25</v>
      </c>
      <c r="K879" s="709"/>
      <c r="L879" s="757"/>
    </row>
    <row r="880" spans="1:12" hidden="1">
      <c r="A880" s="689" t="s">
        <v>43</v>
      </c>
      <c r="B880" s="738" t="s">
        <v>274</v>
      </c>
      <c r="C880" s="764" t="s">
        <v>55</v>
      </c>
      <c r="D880" s="705" t="s">
        <v>107</v>
      </c>
      <c r="E880" s="744">
        <v>1.5</v>
      </c>
      <c r="F880" s="736" t="s">
        <v>19</v>
      </c>
      <c r="G880" s="727">
        <f>ROUND('izolacja wl, ct'!I226,2)</f>
        <v>95.25</v>
      </c>
      <c r="H880" s="704" t="s">
        <v>278</v>
      </c>
      <c r="I880" s="736" t="s">
        <v>277</v>
      </c>
      <c r="J880" s="752">
        <v>25</v>
      </c>
      <c r="K880" s="709"/>
      <c r="L880" s="757"/>
    </row>
    <row r="881" spans="1:12" hidden="1">
      <c r="A881" s="689" t="s">
        <v>43</v>
      </c>
      <c r="B881" s="738" t="s">
        <v>274</v>
      </c>
      <c r="C881" s="764" t="s">
        <v>57</v>
      </c>
      <c r="D881" s="705" t="s">
        <v>31</v>
      </c>
      <c r="E881" s="735">
        <v>2</v>
      </c>
      <c r="F881" s="736" t="s">
        <v>19</v>
      </c>
      <c r="G881" s="727">
        <f>ROUND('izolacja wl, ct'!I227,2)</f>
        <v>228.1</v>
      </c>
      <c r="H881" s="704" t="s">
        <v>278</v>
      </c>
      <c r="I881" s="736" t="s">
        <v>277</v>
      </c>
      <c r="J881" s="752">
        <v>43</v>
      </c>
      <c r="K881" s="709"/>
      <c r="L881" s="757"/>
    </row>
    <row r="882" spans="1:12" hidden="1">
      <c r="A882" s="689" t="s">
        <v>43</v>
      </c>
      <c r="B882" s="738" t="s">
        <v>274</v>
      </c>
      <c r="C882" s="764" t="s">
        <v>59</v>
      </c>
      <c r="D882" s="844" t="s">
        <v>33</v>
      </c>
      <c r="E882" s="845" t="s">
        <v>34</v>
      </c>
      <c r="F882" s="736" t="s">
        <v>19</v>
      </c>
      <c r="G882" s="727">
        <f>ROUND('izolacja wl, ct'!I228,2)</f>
        <v>283.86</v>
      </c>
      <c r="H882" s="704" t="s">
        <v>278</v>
      </c>
      <c r="I882" s="736" t="s">
        <v>277</v>
      </c>
      <c r="J882" s="752">
        <v>49</v>
      </c>
      <c r="K882" s="709"/>
      <c r="L882" s="757"/>
    </row>
    <row r="883" spans="1:12" hidden="1">
      <c r="A883" s="689" t="s">
        <v>43</v>
      </c>
      <c r="B883" s="738" t="s">
        <v>274</v>
      </c>
      <c r="C883" s="764" t="s">
        <v>60</v>
      </c>
      <c r="D883" s="844" t="s">
        <v>35</v>
      </c>
      <c r="E883" s="735">
        <v>3</v>
      </c>
      <c r="F883" s="736" t="s">
        <v>19</v>
      </c>
      <c r="G883" s="727">
        <f>ROUND('izolacja wl, ct'!I229,2)</f>
        <v>450.72</v>
      </c>
      <c r="H883" s="704" t="s">
        <v>278</v>
      </c>
      <c r="I883" s="736" t="s">
        <v>277</v>
      </c>
      <c r="J883" s="752">
        <v>58</v>
      </c>
      <c r="K883" s="709"/>
      <c r="L883" s="757"/>
    </row>
    <row r="884" spans="1:12" hidden="1">
      <c r="A884" s="689" t="s">
        <v>43</v>
      </c>
      <c r="B884" s="738" t="s">
        <v>274</v>
      </c>
      <c r="C884" s="764" t="s">
        <v>62</v>
      </c>
      <c r="D884" s="844" t="s">
        <v>37</v>
      </c>
      <c r="E884" s="735">
        <v>4</v>
      </c>
      <c r="F884" s="736" t="s">
        <v>19</v>
      </c>
      <c r="G884" s="727">
        <f>ROUND('izolacja wl, ct'!I230,2)</f>
        <v>379.26</v>
      </c>
      <c r="H884" s="704" t="s">
        <v>278</v>
      </c>
      <c r="I884" s="736" t="s">
        <v>277</v>
      </c>
      <c r="J884" s="752">
        <v>68</v>
      </c>
      <c r="K884" s="709"/>
      <c r="L884" s="757"/>
    </row>
    <row r="885" spans="1:12" hidden="1">
      <c r="A885" s="689" t="s">
        <v>43</v>
      </c>
      <c r="B885" s="738" t="s">
        <v>274</v>
      </c>
      <c r="C885" s="764" t="s">
        <v>63</v>
      </c>
      <c r="D885" s="737" t="s">
        <v>168</v>
      </c>
      <c r="E885" s="735">
        <v>5</v>
      </c>
      <c r="F885" s="736" t="s">
        <v>19</v>
      </c>
      <c r="G885" s="727">
        <f>ROUND('izolacja wl, ct'!I231,2)</f>
        <v>406.75</v>
      </c>
      <c r="H885" s="704" t="s">
        <v>278</v>
      </c>
      <c r="I885" s="736" t="s">
        <v>277</v>
      </c>
      <c r="J885" s="752">
        <v>74</v>
      </c>
      <c r="K885" s="709"/>
      <c r="L885" s="757"/>
    </row>
    <row r="886" spans="1:12" hidden="1">
      <c r="A886" s="689" t="s">
        <v>43</v>
      </c>
      <c r="B886" s="738" t="s">
        <v>274</v>
      </c>
      <c r="C886" s="764" t="s">
        <v>66</v>
      </c>
      <c r="D886" s="737" t="s">
        <v>169</v>
      </c>
      <c r="E886" s="735">
        <v>6</v>
      </c>
      <c r="F886" s="736" t="s">
        <v>19</v>
      </c>
      <c r="G886" s="727">
        <f>ROUND('izolacja wl, ct'!I232,2)</f>
        <v>444.59</v>
      </c>
      <c r="H886" s="704" t="s">
        <v>278</v>
      </c>
      <c r="I886" s="736" t="s">
        <v>277</v>
      </c>
      <c r="J886" s="752">
        <v>81</v>
      </c>
      <c r="K886" s="709"/>
      <c r="L886" s="757"/>
    </row>
    <row r="887" spans="1:12" hidden="1">
      <c r="A887" s="689" t="s">
        <v>43</v>
      </c>
      <c r="B887" s="738" t="s">
        <v>274</v>
      </c>
      <c r="C887" s="764" t="s">
        <v>121</v>
      </c>
      <c r="D887" s="737" t="s">
        <v>170</v>
      </c>
      <c r="E887" s="735">
        <v>8</v>
      </c>
      <c r="F887" s="736" t="s">
        <v>19</v>
      </c>
      <c r="G887" s="727">
        <f>ROUND('izolacja wl, ct'!I233,2)</f>
        <v>546.53</v>
      </c>
      <c r="H887" s="704" t="s">
        <v>278</v>
      </c>
      <c r="I887" s="736" t="s">
        <v>277</v>
      </c>
      <c r="J887" s="752">
        <v>95</v>
      </c>
      <c r="K887" s="709"/>
      <c r="L887" s="757"/>
    </row>
    <row r="888" spans="1:12" hidden="1">
      <c r="A888" s="689" t="s">
        <v>43</v>
      </c>
      <c r="B888" s="738" t="s">
        <v>274</v>
      </c>
      <c r="C888" s="764" t="s">
        <v>122</v>
      </c>
      <c r="D888" s="737" t="s">
        <v>171</v>
      </c>
      <c r="E888" s="735">
        <v>10</v>
      </c>
      <c r="F888" s="736" t="s">
        <v>19</v>
      </c>
      <c r="G888" s="727">
        <f>ROUND('izolacja wl, ct'!I234,2)</f>
        <v>529.92999999999995</v>
      </c>
      <c r="H888" s="704" t="s">
        <v>278</v>
      </c>
      <c r="I888" s="736" t="s">
        <v>277</v>
      </c>
      <c r="J888" s="752">
        <v>108</v>
      </c>
      <c r="K888" s="709"/>
      <c r="L888" s="757"/>
    </row>
    <row r="889" spans="1:12" hidden="1">
      <c r="A889" s="689" t="s">
        <v>43</v>
      </c>
      <c r="B889" s="738" t="s">
        <v>274</v>
      </c>
      <c r="C889" s="764" t="s">
        <v>156</v>
      </c>
      <c r="D889" s="737" t="s">
        <v>172</v>
      </c>
      <c r="E889" s="735">
        <v>12</v>
      </c>
      <c r="F889" s="736" t="s">
        <v>19</v>
      </c>
      <c r="G889" s="727">
        <f>ROUND('izolacja wl, ct'!I235,2)</f>
        <v>606.46</v>
      </c>
      <c r="H889" s="704" t="s">
        <v>278</v>
      </c>
      <c r="I889" s="736" t="s">
        <v>277</v>
      </c>
      <c r="J889" s="752">
        <v>122</v>
      </c>
      <c r="K889" s="709"/>
      <c r="L889" s="757"/>
    </row>
    <row r="890" spans="1:12" hidden="1">
      <c r="A890" s="689" t="s">
        <v>43</v>
      </c>
      <c r="B890" s="738" t="s">
        <v>274</v>
      </c>
      <c r="C890" s="764" t="s">
        <v>158</v>
      </c>
      <c r="D890" s="737" t="s">
        <v>175</v>
      </c>
      <c r="E890" s="735">
        <v>14</v>
      </c>
      <c r="F890" s="736" t="s">
        <v>19</v>
      </c>
      <c r="G890" s="727">
        <f>ROUND('izolacja wl, ct'!I236,2)</f>
        <v>678.73</v>
      </c>
      <c r="H890" s="704" t="s">
        <v>278</v>
      </c>
      <c r="I890" s="736" t="s">
        <v>277</v>
      </c>
      <c r="J890" s="752">
        <v>122</v>
      </c>
      <c r="K890" s="709"/>
      <c r="L890" s="757"/>
    </row>
    <row r="891" spans="1:12" hidden="1">
      <c r="A891" s="689" t="s">
        <v>43</v>
      </c>
      <c r="B891" s="738" t="s">
        <v>274</v>
      </c>
      <c r="C891" s="764" t="s">
        <v>176</v>
      </c>
      <c r="D891" s="737" t="s">
        <v>177</v>
      </c>
      <c r="E891" s="735">
        <v>16</v>
      </c>
      <c r="F891" s="736" t="s">
        <v>19</v>
      </c>
      <c r="G891" s="727">
        <f>ROUND('izolacja wl, ct'!I237,2)</f>
        <v>723.74</v>
      </c>
      <c r="H891" s="704" t="s">
        <v>278</v>
      </c>
      <c r="I891" s="736" t="s">
        <v>277</v>
      </c>
      <c r="J891" s="752">
        <v>151</v>
      </c>
      <c r="K891" s="709"/>
      <c r="L891" s="757"/>
    </row>
    <row r="892" spans="1:12" hidden="1">
      <c r="A892" s="689" t="s">
        <v>43</v>
      </c>
      <c r="B892" s="691"/>
      <c r="C892" s="766"/>
      <c r="D892" s="711"/>
      <c r="E892" s="692"/>
      <c r="F892" s="693"/>
      <c r="G892" s="723"/>
      <c r="H892" s="695"/>
      <c r="I892" s="693"/>
      <c r="J892" s="690"/>
      <c r="K892" s="709"/>
      <c r="L892" s="757"/>
    </row>
    <row r="893" spans="1:12" hidden="1">
      <c r="A893" s="689" t="s">
        <v>43</v>
      </c>
      <c r="B893" s="738" t="s">
        <v>279</v>
      </c>
      <c r="C893" s="764" t="s">
        <v>47</v>
      </c>
      <c r="D893" s="705" t="s">
        <v>270</v>
      </c>
      <c r="E893" s="744">
        <v>0.5</v>
      </c>
      <c r="F893" s="736" t="s">
        <v>19</v>
      </c>
      <c r="G893" s="727">
        <f>ROUND('izolacja wl, ct'!I514,2)</f>
        <v>8.1999999999999993</v>
      </c>
      <c r="H893" s="704" t="s">
        <v>280</v>
      </c>
      <c r="I893" s="736" t="s">
        <v>272</v>
      </c>
      <c r="J893" s="752">
        <v>25</v>
      </c>
      <c r="K893" s="709"/>
      <c r="L893" s="757"/>
    </row>
    <row r="894" spans="1:12" hidden="1">
      <c r="A894" s="689" t="s">
        <v>43</v>
      </c>
      <c r="B894" s="738" t="s">
        <v>279</v>
      </c>
      <c r="C894" s="764" t="s">
        <v>49</v>
      </c>
      <c r="D894" s="705" t="s">
        <v>104</v>
      </c>
      <c r="E894" s="744">
        <v>0.75</v>
      </c>
      <c r="F894" s="736" t="s">
        <v>19</v>
      </c>
      <c r="G894" s="727">
        <f>ROUND('izolacja wl, ct'!I515,2)</f>
        <v>8.91</v>
      </c>
      <c r="H894" s="704" t="s">
        <v>280</v>
      </c>
      <c r="I894" s="736" t="s">
        <v>272</v>
      </c>
      <c r="J894" s="752">
        <v>25</v>
      </c>
      <c r="K894" s="709"/>
      <c r="L894" s="757"/>
    </row>
    <row r="895" spans="1:12" hidden="1">
      <c r="A895" s="689" t="s">
        <v>43</v>
      </c>
      <c r="B895" s="738" t="s">
        <v>279</v>
      </c>
      <c r="C895" s="764" t="s">
        <v>51</v>
      </c>
      <c r="D895" s="705" t="s">
        <v>105</v>
      </c>
      <c r="E895" s="744">
        <v>1</v>
      </c>
      <c r="F895" s="736" t="s">
        <v>19</v>
      </c>
      <c r="G895" s="727">
        <f>ROUND('izolacja wl, ct'!I516,2)</f>
        <v>16.11</v>
      </c>
      <c r="H895" s="704" t="s">
        <v>280</v>
      </c>
      <c r="I895" s="736" t="s">
        <v>272</v>
      </c>
      <c r="J895" s="752">
        <v>25</v>
      </c>
      <c r="K895" s="709"/>
      <c r="L895" s="757"/>
    </row>
    <row r="896" spans="1:12" hidden="1">
      <c r="A896" s="689" t="s">
        <v>43</v>
      </c>
      <c r="B896" s="738" t="s">
        <v>279</v>
      </c>
      <c r="C896" s="764" t="s">
        <v>53</v>
      </c>
      <c r="D896" s="705" t="s">
        <v>106</v>
      </c>
      <c r="E896" s="744">
        <v>1.25</v>
      </c>
      <c r="F896" s="736" t="s">
        <v>19</v>
      </c>
      <c r="G896" s="727">
        <f>ROUND('izolacja wl, ct'!I517,2)</f>
        <v>19.37</v>
      </c>
      <c r="H896" s="704" t="s">
        <v>280</v>
      </c>
      <c r="I896" s="736" t="s">
        <v>272</v>
      </c>
      <c r="J896" s="752">
        <v>25</v>
      </c>
      <c r="K896" s="709"/>
      <c r="L896" s="757"/>
    </row>
    <row r="897" spans="1:12" hidden="1">
      <c r="A897" s="689" t="s">
        <v>43</v>
      </c>
      <c r="B897" s="738" t="s">
        <v>279</v>
      </c>
      <c r="C897" s="764" t="s">
        <v>55</v>
      </c>
      <c r="D897" s="705" t="s">
        <v>107</v>
      </c>
      <c r="E897" s="744">
        <v>1.5</v>
      </c>
      <c r="F897" s="736" t="s">
        <v>19</v>
      </c>
      <c r="G897" s="727">
        <f>ROUND('izolacja wl, ct'!I518,2)</f>
        <v>42.62</v>
      </c>
      <c r="H897" s="704" t="s">
        <v>280</v>
      </c>
      <c r="I897" s="736" t="s">
        <v>272</v>
      </c>
      <c r="J897" s="752">
        <v>42.323066000000004</v>
      </c>
      <c r="K897" s="709"/>
      <c r="L897" s="757"/>
    </row>
    <row r="898" spans="1:12" hidden="1">
      <c r="A898" s="689" t="s">
        <v>43</v>
      </c>
      <c r="B898" s="738" t="s">
        <v>279</v>
      </c>
      <c r="C898" s="764" t="s">
        <v>57</v>
      </c>
      <c r="D898" s="705" t="s">
        <v>31</v>
      </c>
      <c r="E898" s="735">
        <v>2</v>
      </c>
      <c r="F898" s="736" t="s">
        <v>19</v>
      </c>
      <c r="G898" s="727">
        <f>ROUND('izolacja wl, ct'!I519,2)</f>
        <v>85.4</v>
      </c>
      <c r="H898" s="704" t="s">
        <v>280</v>
      </c>
      <c r="I898" s="736" t="s">
        <v>272</v>
      </c>
      <c r="J898" s="752">
        <v>65.587012000000016</v>
      </c>
      <c r="K898" s="709"/>
      <c r="L898" s="757"/>
    </row>
    <row r="899" spans="1:12" hidden="1">
      <c r="A899" s="689" t="s">
        <v>43</v>
      </c>
      <c r="B899" s="738" t="s">
        <v>279</v>
      </c>
      <c r="C899" s="764" t="s">
        <v>59</v>
      </c>
      <c r="D899" s="844" t="s">
        <v>33</v>
      </c>
      <c r="E899" s="845" t="s">
        <v>34</v>
      </c>
      <c r="F899" s="736" t="s">
        <v>19</v>
      </c>
      <c r="G899" s="727">
        <f>ROUND('izolacja wl, ct'!I520,2)</f>
        <v>176.79</v>
      </c>
      <c r="H899" s="704" t="s">
        <v>280</v>
      </c>
      <c r="I899" s="736" t="s">
        <v>272</v>
      </c>
      <c r="J899" s="752">
        <v>125.50888800000001</v>
      </c>
      <c r="K899" s="709"/>
      <c r="L899" s="757"/>
    </row>
    <row r="900" spans="1:12" hidden="1">
      <c r="A900" s="689" t="s">
        <v>43</v>
      </c>
      <c r="B900" s="738" t="s">
        <v>279</v>
      </c>
      <c r="C900" s="764" t="s">
        <v>60</v>
      </c>
      <c r="D900" s="844" t="s">
        <v>35</v>
      </c>
      <c r="E900" s="735">
        <v>3</v>
      </c>
      <c r="F900" s="736" t="s">
        <v>19</v>
      </c>
      <c r="G900" s="727">
        <f>ROUND('izolacja wl, ct'!I521,2)</f>
        <v>245.08</v>
      </c>
      <c r="H900" s="704" t="s">
        <v>280</v>
      </c>
      <c r="I900" s="736" t="s">
        <v>272</v>
      </c>
      <c r="J900" s="752">
        <v>171.02839000000003</v>
      </c>
      <c r="K900" s="709"/>
      <c r="L900" s="757"/>
    </row>
    <row r="901" spans="1:12" hidden="1">
      <c r="A901" s="689" t="s">
        <v>43</v>
      </c>
      <c r="B901" s="738" t="s">
        <v>279</v>
      </c>
      <c r="C901" s="764" t="s">
        <v>62</v>
      </c>
      <c r="D901" s="844" t="s">
        <v>37</v>
      </c>
      <c r="E901" s="735">
        <v>4</v>
      </c>
      <c r="F901" s="736" t="s">
        <v>19</v>
      </c>
      <c r="G901" s="727">
        <f>ROUND('izolacja wl, ct'!I522,2)</f>
        <v>391.25</v>
      </c>
      <c r="H901" s="704" t="s">
        <v>280</v>
      </c>
      <c r="I901" s="736" t="s">
        <v>272</v>
      </c>
      <c r="J901" s="752">
        <v>270.34910200000002</v>
      </c>
      <c r="K901" s="709"/>
      <c r="L901" s="757"/>
    </row>
    <row r="902" spans="1:12" hidden="1">
      <c r="A902" s="768"/>
      <c r="B902" s="690"/>
      <c r="C902" s="766"/>
      <c r="D902" s="711"/>
      <c r="E902" s="692"/>
      <c r="F902" s="693"/>
      <c r="G902" s="723"/>
      <c r="H902" s="695"/>
      <c r="I902" s="693"/>
      <c r="J902" s="753"/>
      <c r="K902" s="709"/>
      <c r="L902" s="757"/>
    </row>
    <row r="903" spans="1:12" hidden="1">
      <c r="A903" s="689" t="s">
        <v>43</v>
      </c>
      <c r="B903" s="769" t="s">
        <v>281</v>
      </c>
      <c r="C903" s="734" t="s">
        <v>282</v>
      </c>
      <c r="D903" s="734" t="s">
        <v>283</v>
      </c>
      <c r="E903" s="744">
        <v>0.25</v>
      </c>
      <c r="F903" s="736" t="s">
        <v>19</v>
      </c>
      <c r="G903" s="727">
        <f>2.16*0.8</f>
        <v>1.7280000000000002</v>
      </c>
      <c r="H903" s="704" t="s">
        <v>280</v>
      </c>
      <c r="I903" s="736" t="s">
        <v>284</v>
      </c>
      <c r="J903" s="752">
        <v>10</v>
      </c>
      <c r="K903" s="709"/>
      <c r="L903" s="757"/>
    </row>
    <row r="904" spans="1:12" hidden="1">
      <c r="A904" s="689" t="s">
        <v>43</v>
      </c>
      <c r="B904" s="769" t="s">
        <v>281</v>
      </c>
      <c r="C904" s="734" t="s">
        <v>94</v>
      </c>
      <c r="D904" s="734" t="s">
        <v>285</v>
      </c>
      <c r="E904" s="744">
        <v>0.375</v>
      </c>
      <c r="F904" s="736" t="s">
        <v>19</v>
      </c>
      <c r="G904" s="727">
        <f>2.45*0.8</f>
        <v>1.9600000000000002</v>
      </c>
      <c r="H904" s="704" t="s">
        <v>280</v>
      </c>
      <c r="I904" s="736" t="s">
        <v>284</v>
      </c>
      <c r="J904" s="752">
        <v>10</v>
      </c>
      <c r="K904" s="709"/>
      <c r="L904" s="757"/>
    </row>
    <row r="905" spans="1:12" hidden="1">
      <c r="A905" s="689" t="s">
        <v>43</v>
      </c>
      <c r="B905" s="769" t="s">
        <v>281</v>
      </c>
      <c r="C905" s="734" t="s">
        <v>47</v>
      </c>
      <c r="D905" s="734" t="s">
        <v>99</v>
      </c>
      <c r="E905" s="744">
        <v>0.5</v>
      </c>
      <c r="F905" s="736" t="s">
        <v>19</v>
      </c>
      <c r="G905" s="727">
        <f>2.79*0.8</f>
        <v>2.2320000000000002</v>
      </c>
      <c r="H905" s="704" t="s">
        <v>280</v>
      </c>
      <c r="I905" s="736" t="s">
        <v>284</v>
      </c>
      <c r="J905" s="752">
        <v>10</v>
      </c>
      <c r="K905" s="709"/>
      <c r="L905" s="757"/>
    </row>
    <row r="906" spans="1:12" hidden="1">
      <c r="A906" s="689" t="s">
        <v>43</v>
      </c>
      <c r="B906" s="769" t="s">
        <v>281</v>
      </c>
      <c r="C906" s="734" t="s">
        <v>49</v>
      </c>
      <c r="D906" s="705" t="s">
        <v>104</v>
      </c>
      <c r="E906" s="744">
        <v>0.75</v>
      </c>
      <c r="F906" s="736" t="s">
        <v>19</v>
      </c>
      <c r="G906" s="727">
        <f>3.49*0.8</f>
        <v>2.7920000000000003</v>
      </c>
      <c r="H906" s="704" t="s">
        <v>280</v>
      </c>
      <c r="I906" s="736" t="s">
        <v>284</v>
      </c>
      <c r="J906" s="752">
        <v>10</v>
      </c>
      <c r="K906" s="709"/>
      <c r="L906" s="757"/>
    </row>
    <row r="907" spans="1:12" hidden="1">
      <c r="A907" s="689" t="s">
        <v>43</v>
      </c>
      <c r="B907" s="769" t="s">
        <v>281</v>
      </c>
      <c r="C907" s="734" t="s">
        <v>51</v>
      </c>
      <c r="D907" s="705" t="s">
        <v>105</v>
      </c>
      <c r="E907" s="744">
        <v>1</v>
      </c>
      <c r="F907" s="736" t="s">
        <v>19</v>
      </c>
      <c r="G907" s="727">
        <f>4.16*0.8</f>
        <v>3.3280000000000003</v>
      </c>
      <c r="H907" s="704" t="s">
        <v>280</v>
      </c>
      <c r="I907" s="736" t="s">
        <v>284</v>
      </c>
      <c r="J907" s="752">
        <v>12</v>
      </c>
      <c r="K907" s="709"/>
      <c r="L907" s="757"/>
    </row>
    <row r="908" spans="1:12" hidden="1">
      <c r="A908" s="689"/>
      <c r="B908" s="691"/>
      <c r="C908" s="766"/>
      <c r="D908" s="711"/>
      <c r="E908" s="692"/>
      <c r="F908" s="693"/>
      <c r="G908" s="723"/>
      <c r="H908" s="695"/>
      <c r="I908" s="693"/>
      <c r="J908" s="690"/>
      <c r="K908" s="709"/>
      <c r="L908" s="757"/>
    </row>
    <row r="909" spans="1:12" hidden="1">
      <c r="A909" s="689" t="s">
        <v>43</v>
      </c>
      <c r="B909" s="738" t="s">
        <v>274</v>
      </c>
      <c r="C909" s="764" t="s">
        <v>47</v>
      </c>
      <c r="D909" s="705" t="s">
        <v>270</v>
      </c>
      <c r="E909" s="744">
        <v>0.5</v>
      </c>
      <c r="F909" s="736" t="s">
        <v>19</v>
      </c>
      <c r="G909" s="828">
        <f>ROUND('izolacja wod-kan'!I6,2)</f>
        <v>33.68</v>
      </c>
      <c r="H909" s="770" t="s">
        <v>275</v>
      </c>
      <c r="I909" s="736" t="s">
        <v>286</v>
      </c>
      <c r="J909" s="752">
        <v>25</v>
      </c>
      <c r="K909" s="709" t="s">
        <v>287</v>
      </c>
      <c r="L909" s="757"/>
    </row>
    <row r="910" spans="1:12" hidden="1">
      <c r="A910" s="689" t="s">
        <v>43</v>
      </c>
      <c r="B910" s="738" t="s">
        <v>274</v>
      </c>
      <c r="C910" s="764" t="s">
        <v>49</v>
      </c>
      <c r="D910" s="705" t="s">
        <v>104</v>
      </c>
      <c r="E910" s="744">
        <v>0.75</v>
      </c>
      <c r="F910" s="736" t="s">
        <v>19</v>
      </c>
      <c r="G910" s="828">
        <f>ROUND('izolacja wod-kan'!I7,2)</f>
        <v>38.97</v>
      </c>
      <c r="H910" s="770" t="s">
        <v>275</v>
      </c>
      <c r="I910" s="736" t="s">
        <v>286</v>
      </c>
      <c r="J910" s="752">
        <v>25</v>
      </c>
      <c r="K910" s="709"/>
      <c r="L910" s="757"/>
    </row>
    <row r="911" spans="1:12" hidden="1">
      <c r="A911" s="689" t="s">
        <v>43</v>
      </c>
      <c r="B911" s="738" t="s">
        <v>274</v>
      </c>
      <c r="C911" s="764" t="s">
        <v>51</v>
      </c>
      <c r="D911" s="705" t="s">
        <v>105</v>
      </c>
      <c r="E911" s="744">
        <v>1</v>
      </c>
      <c r="F911" s="736" t="s">
        <v>19</v>
      </c>
      <c r="G911" s="828">
        <f>ROUND('izolacja wod-kan'!I8,2)</f>
        <v>44.05</v>
      </c>
      <c r="H911" s="770" t="s">
        <v>275</v>
      </c>
      <c r="I911" s="736" t="s">
        <v>286</v>
      </c>
      <c r="J911" s="752">
        <v>25</v>
      </c>
      <c r="K911" s="709"/>
      <c r="L911" s="757"/>
    </row>
    <row r="912" spans="1:12" hidden="1">
      <c r="A912" s="689" t="s">
        <v>43</v>
      </c>
      <c r="B912" s="738" t="s">
        <v>274</v>
      </c>
      <c r="C912" s="764" t="s">
        <v>53</v>
      </c>
      <c r="D912" s="705" t="s">
        <v>106</v>
      </c>
      <c r="E912" s="744">
        <v>1.25</v>
      </c>
      <c r="F912" s="736" t="s">
        <v>19</v>
      </c>
      <c r="G912" s="828">
        <f>ROUND('izolacja wod-kan'!I9,2)</f>
        <v>53.24</v>
      </c>
      <c r="H912" s="770" t="s">
        <v>275</v>
      </c>
      <c r="I912" s="736" t="s">
        <v>286</v>
      </c>
      <c r="J912" s="752">
        <v>25</v>
      </c>
      <c r="K912" s="709"/>
      <c r="L912" s="757"/>
    </row>
    <row r="913" spans="1:12" hidden="1">
      <c r="A913" s="689" t="s">
        <v>43</v>
      </c>
      <c r="B913" s="738" t="s">
        <v>274</v>
      </c>
      <c r="C913" s="764" t="s">
        <v>55</v>
      </c>
      <c r="D913" s="705" t="s">
        <v>107</v>
      </c>
      <c r="E913" s="744">
        <v>1.5</v>
      </c>
      <c r="F913" s="736" t="s">
        <v>19</v>
      </c>
      <c r="G913" s="828">
        <f>ROUND('izolacja wod-kan'!I10,2)</f>
        <v>66.989999999999995</v>
      </c>
      <c r="H913" s="770" t="s">
        <v>275</v>
      </c>
      <c r="I913" s="736" t="s">
        <v>286</v>
      </c>
      <c r="J913" s="752">
        <v>25</v>
      </c>
      <c r="K913" s="709"/>
      <c r="L913" s="757"/>
    </row>
    <row r="914" spans="1:12" hidden="1">
      <c r="A914" s="689" t="s">
        <v>43</v>
      </c>
      <c r="B914" s="738" t="s">
        <v>274</v>
      </c>
      <c r="C914" s="764" t="s">
        <v>57</v>
      </c>
      <c r="D914" s="705" t="s">
        <v>31</v>
      </c>
      <c r="E914" s="735">
        <v>2</v>
      </c>
      <c r="F914" s="736" t="s">
        <v>19</v>
      </c>
      <c r="G914" s="828">
        <f>ROUND('izolacja wod-kan'!I11,2)</f>
        <v>91.28</v>
      </c>
      <c r="H914" s="770" t="s">
        <v>275</v>
      </c>
      <c r="I914" s="736" t="s">
        <v>286</v>
      </c>
      <c r="J914" s="752">
        <v>25</v>
      </c>
      <c r="K914" s="709"/>
      <c r="L914" s="757"/>
    </row>
    <row r="915" spans="1:12" hidden="1">
      <c r="A915" s="689" t="s">
        <v>43</v>
      </c>
      <c r="B915" s="738" t="s">
        <v>274</v>
      </c>
      <c r="C915" s="764" t="s">
        <v>59</v>
      </c>
      <c r="D915" s="844" t="s">
        <v>33</v>
      </c>
      <c r="E915" s="845" t="s">
        <v>34</v>
      </c>
      <c r="F915" s="736" t="s">
        <v>19</v>
      </c>
      <c r="G915" s="828">
        <f>ROUND('izolacja wod-kan'!I12,2)</f>
        <v>94.58</v>
      </c>
      <c r="H915" s="770" t="s">
        <v>275</v>
      </c>
      <c r="I915" s="736" t="s">
        <v>286</v>
      </c>
      <c r="J915" s="752">
        <v>25</v>
      </c>
      <c r="K915" s="709"/>
      <c r="L915" s="757"/>
    </row>
    <row r="916" spans="1:12" hidden="1">
      <c r="A916" s="689" t="s">
        <v>43</v>
      </c>
      <c r="B916" s="738" t="s">
        <v>274</v>
      </c>
      <c r="C916" s="764" t="s">
        <v>60</v>
      </c>
      <c r="D916" s="844" t="s">
        <v>35</v>
      </c>
      <c r="E916" s="735">
        <v>3</v>
      </c>
      <c r="F916" s="736" t="s">
        <v>19</v>
      </c>
      <c r="G916" s="828">
        <f>ROUND('izolacja wod-kan'!I13,2)</f>
        <v>106.97</v>
      </c>
      <c r="H916" s="770" t="s">
        <v>275</v>
      </c>
      <c r="I916" s="736" t="s">
        <v>286</v>
      </c>
      <c r="J916" s="752">
        <v>25</v>
      </c>
      <c r="K916" s="709"/>
      <c r="L916" s="757"/>
    </row>
    <row r="917" spans="1:12" hidden="1">
      <c r="A917" s="689" t="s">
        <v>43</v>
      </c>
      <c r="B917" s="738" t="s">
        <v>274</v>
      </c>
      <c r="C917" s="764" t="s">
        <v>62</v>
      </c>
      <c r="D917" s="844" t="s">
        <v>37</v>
      </c>
      <c r="E917" s="735">
        <v>4</v>
      </c>
      <c r="F917" s="736" t="s">
        <v>19</v>
      </c>
      <c r="G917" s="828">
        <f>ROUND('izolacja wod-kan'!I14,2)</f>
        <v>148.35</v>
      </c>
      <c r="H917" s="770" t="s">
        <v>275</v>
      </c>
      <c r="I917" s="736" t="s">
        <v>286</v>
      </c>
      <c r="J917" s="752">
        <v>30</v>
      </c>
      <c r="K917" s="709"/>
      <c r="L917" s="757"/>
    </row>
    <row r="918" spans="1:12" hidden="1">
      <c r="A918" s="689" t="s">
        <v>43</v>
      </c>
      <c r="B918" s="738" t="s">
        <v>274</v>
      </c>
      <c r="C918" s="764" t="s">
        <v>63</v>
      </c>
      <c r="D918" s="737" t="s">
        <v>168</v>
      </c>
      <c r="E918" s="735">
        <v>5</v>
      </c>
      <c r="F918" s="736" t="s">
        <v>19</v>
      </c>
      <c r="G918" s="828">
        <f>ROUND('izolacja wod-kan'!I15,2)</f>
        <v>212.44</v>
      </c>
      <c r="H918" s="770" t="s">
        <v>275</v>
      </c>
      <c r="I918" s="736" t="s">
        <v>286</v>
      </c>
      <c r="J918" s="752">
        <v>30</v>
      </c>
      <c r="K918" s="709"/>
      <c r="L918" s="757"/>
    </row>
    <row r="919" spans="1:12" hidden="1">
      <c r="A919" s="689" t="s">
        <v>43</v>
      </c>
      <c r="B919" s="738" t="s">
        <v>274</v>
      </c>
      <c r="C919" s="764" t="s">
        <v>66</v>
      </c>
      <c r="D919" s="737" t="s">
        <v>169</v>
      </c>
      <c r="E919" s="735">
        <v>6</v>
      </c>
      <c r="F919" s="736" t="s">
        <v>19</v>
      </c>
      <c r="G919" s="828">
        <f>ROUND('izolacja wod-kan'!I16,2)</f>
        <v>0</v>
      </c>
      <c r="H919" s="770" t="s">
        <v>275</v>
      </c>
      <c r="I919" s="736" t="s">
        <v>286</v>
      </c>
      <c r="J919" s="752">
        <v>35</v>
      </c>
      <c r="K919" s="709"/>
      <c r="L919" s="757"/>
    </row>
    <row r="920" spans="1:12" hidden="1">
      <c r="A920" s="689" t="s">
        <v>43</v>
      </c>
      <c r="B920" s="691"/>
      <c r="C920" s="766"/>
      <c r="D920" s="711"/>
      <c r="E920" s="692"/>
      <c r="F920" s="693"/>
      <c r="G920" s="723"/>
      <c r="H920" s="695"/>
      <c r="I920" s="693"/>
      <c r="J920" s="690"/>
      <c r="K920" s="709"/>
      <c r="L920" s="757"/>
    </row>
    <row r="921" spans="1:12" hidden="1">
      <c r="A921" s="689" t="s">
        <v>43</v>
      </c>
      <c r="B921" s="738" t="s">
        <v>274</v>
      </c>
      <c r="C921" s="764" t="s">
        <v>47</v>
      </c>
      <c r="D921" s="705" t="s">
        <v>270</v>
      </c>
      <c r="E921" s="744">
        <v>0.5</v>
      </c>
      <c r="F921" s="736" t="s">
        <v>19</v>
      </c>
      <c r="G921" s="828">
        <f>ROUND('izolacja wod-kan'!I20,2)</f>
        <v>21.29</v>
      </c>
      <c r="H921" s="770" t="s">
        <v>275</v>
      </c>
      <c r="I921" s="771" t="s">
        <v>288</v>
      </c>
      <c r="J921" s="752">
        <v>25</v>
      </c>
      <c r="K921" s="709" t="s">
        <v>287</v>
      </c>
      <c r="L921" s="757"/>
    </row>
    <row r="922" spans="1:12" hidden="1">
      <c r="A922" s="689" t="s">
        <v>43</v>
      </c>
      <c r="B922" s="738" t="s">
        <v>274</v>
      </c>
      <c r="C922" s="764" t="s">
        <v>49</v>
      </c>
      <c r="D922" s="705" t="s">
        <v>104</v>
      </c>
      <c r="E922" s="744">
        <v>0.75</v>
      </c>
      <c r="F922" s="736" t="s">
        <v>19</v>
      </c>
      <c r="G922" s="828">
        <f>ROUND('izolacja wod-kan'!I21,2)</f>
        <v>25.29</v>
      </c>
      <c r="H922" s="770" t="s">
        <v>275</v>
      </c>
      <c r="I922" s="771" t="s">
        <v>288</v>
      </c>
      <c r="J922" s="752">
        <v>25</v>
      </c>
      <c r="K922" s="709"/>
      <c r="L922" s="757"/>
    </row>
    <row r="923" spans="1:12" hidden="1">
      <c r="A923" s="689" t="s">
        <v>43</v>
      </c>
      <c r="B923" s="738" t="s">
        <v>274</v>
      </c>
      <c r="C923" s="764" t="s">
        <v>51</v>
      </c>
      <c r="D923" s="705" t="s">
        <v>105</v>
      </c>
      <c r="E923" s="744">
        <v>1</v>
      </c>
      <c r="F923" s="736" t="s">
        <v>19</v>
      </c>
      <c r="G923" s="828">
        <f>ROUND('izolacja wod-kan'!I22,2)</f>
        <v>30.16</v>
      </c>
      <c r="H923" s="770" t="s">
        <v>275</v>
      </c>
      <c r="I923" s="771" t="s">
        <v>288</v>
      </c>
      <c r="J923" s="752">
        <v>25</v>
      </c>
      <c r="K923" s="709"/>
      <c r="L923" s="757"/>
    </row>
    <row r="924" spans="1:12" hidden="1">
      <c r="A924" s="689" t="s">
        <v>43</v>
      </c>
      <c r="B924" s="738" t="s">
        <v>274</v>
      </c>
      <c r="C924" s="764" t="s">
        <v>53</v>
      </c>
      <c r="D924" s="705" t="s">
        <v>106</v>
      </c>
      <c r="E924" s="744">
        <v>1.25</v>
      </c>
      <c r="F924" s="736" t="s">
        <v>19</v>
      </c>
      <c r="G924" s="828">
        <f>ROUND('izolacja wod-kan'!I23,2)</f>
        <v>33.83</v>
      </c>
      <c r="H924" s="770" t="s">
        <v>275</v>
      </c>
      <c r="I924" s="771" t="s">
        <v>288</v>
      </c>
      <c r="J924" s="752">
        <v>25</v>
      </c>
      <c r="K924" s="709"/>
      <c r="L924" s="757"/>
    </row>
    <row r="925" spans="1:12" hidden="1">
      <c r="A925" s="689" t="s">
        <v>43</v>
      </c>
      <c r="B925" s="738" t="s">
        <v>274</v>
      </c>
      <c r="C925" s="764" t="s">
        <v>55</v>
      </c>
      <c r="D925" s="705" t="s">
        <v>107</v>
      </c>
      <c r="E925" s="744">
        <v>1.5</v>
      </c>
      <c r="F925" s="736" t="s">
        <v>19</v>
      </c>
      <c r="G925" s="828">
        <f>ROUND('izolacja wod-kan'!I24,2)</f>
        <v>43.75</v>
      </c>
      <c r="H925" s="770" t="s">
        <v>275</v>
      </c>
      <c r="I925" s="771" t="s">
        <v>288</v>
      </c>
      <c r="J925" s="752">
        <v>25</v>
      </c>
      <c r="K925" s="709"/>
      <c r="L925" s="757"/>
    </row>
    <row r="926" spans="1:12" hidden="1">
      <c r="A926" s="689" t="s">
        <v>43</v>
      </c>
      <c r="B926" s="738" t="s">
        <v>274</v>
      </c>
      <c r="C926" s="764" t="s">
        <v>57</v>
      </c>
      <c r="D926" s="705" t="s">
        <v>31</v>
      </c>
      <c r="E926" s="735">
        <v>2</v>
      </c>
      <c r="F926" s="736" t="s">
        <v>19</v>
      </c>
      <c r="G926" s="828">
        <f>ROUND('izolacja wod-kan'!I25,2)</f>
        <v>57.06</v>
      </c>
      <c r="H926" s="770" t="s">
        <v>275</v>
      </c>
      <c r="I926" s="771" t="s">
        <v>288</v>
      </c>
      <c r="J926" s="752">
        <v>25</v>
      </c>
      <c r="K926" s="709"/>
      <c r="L926" s="757"/>
    </row>
    <row r="927" spans="1:12" hidden="1">
      <c r="A927" s="689" t="s">
        <v>43</v>
      </c>
      <c r="B927" s="738" t="s">
        <v>274</v>
      </c>
      <c r="C927" s="764" t="s">
        <v>59</v>
      </c>
      <c r="D927" s="844" t="s">
        <v>33</v>
      </c>
      <c r="E927" s="845" t="s">
        <v>34</v>
      </c>
      <c r="F927" s="736" t="s">
        <v>19</v>
      </c>
      <c r="G927" s="828">
        <f>ROUND('izolacja wod-kan'!I26,2)</f>
        <v>66.3</v>
      </c>
      <c r="H927" s="770" t="s">
        <v>275</v>
      </c>
      <c r="I927" s="771" t="s">
        <v>288</v>
      </c>
      <c r="J927" s="752">
        <v>25</v>
      </c>
      <c r="K927" s="709"/>
      <c r="L927" s="757"/>
    </row>
    <row r="928" spans="1:12" hidden="1">
      <c r="A928" s="689" t="s">
        <v>43</v>
      </c>
      <c r="B928" s="738" t="s">
        <v>274</v>
      </c>
      <c r="C928" s="764" t="s">
        <v>60</v>
      </c>
      <c r="D928" s="844" t="s">
        <v>35</v>
      </c>
      <c r="E928" s="735">
        <v>3</v>
      </c>
      <c r="F928" s="736" t="s">
        <v>19</v>
      </c>
      <c r="G928" s="828">
        <f>ROUND('izolacja wod-kan'!I27,2)</f>
        <v>73.489999999999995</v>
      </c>
      <c r="H928" s="770" t="s">
        <v>275</v>
      </c>
      <c r="I928" s="771" t="s">
        <v>288</v>
      </c>
      <c r="J928" s="752">
        <v>25</v>
      </c>
      <c r="K928" s="709"/>
      <c r="L928" s="757"/>
    </row>
    <row r="929" spans="1:12" hidden="1">
      <c r="A929" s="689" t="s">
        <v>43</v>
      </c>
      <c r="B929" s="738" t="s">
        <v>274</v>
      </c>
      <c r="C929" s="764" t="s">
        <v>62</v>
      </c>
      <c r="D929" s="844" t="s">
        <v>37</v>
      </c>
      <c r="E929" s="735">
        <v>4</v>
      </c>
      <c r="F929" s="736" t="s">
        <v>19</v>
      </c>
      <c r="G929" s="828">
        <f>ROUND('izolacja wod-kan'!I28,2)</f>
        <v>105.62</v>
      </c>
      <c r="H929" s="770" t="s">
        <v>275</v>
      </c>
      <c r="I929" s="771" t="s">
        <v>288</v>
      </c>
      <c r="J929" s="752">
        <v>30</v>
      </c>
      <c r="K929" s="709"/>
      <c r="L929" s="757"/>
    </row>
    <row r="930" spans="1:12" hidden="1">
      <c r="A930" s="689" t="s">
        <v>43</v>
      </c>
      <c r="B930" s="738" t="s">
        <v>274</v>
      </c>
      <c r="C930" s="764" t="s">
        <v>63</v>
      </c>
      <c r="D930" s="737" t="s">
        <v>168</v>
      </c>
      <c r="E930" s="735">
        <v>5</v>
      </c>
      <c r="F930" s="736" t="s">
        <v>19</v>
      </c>
      <c r="G930" s="828">
        <f>ROUND('izolacja wod-kan'!I29,2)</f>
        <v>134.97</v>
      </c>
      <c r="H930" s="770" t="s">
        <v>275</v>
      </c>
      <c r="I930" s="771" t="s">
        <v>288</v>
      </c>
      <c r="J930" s="752">
        <v>30</v>
      </c>
      <c r="K930" s="709"/>
      <c r="L930" s="757"/>
    </row>
    <row r="931" spans="1:12" hidden="1">
      <c r="A931" s="689" t="s">
        <v>43</v>
      </c>
      <c r="B931" s="738" t="s">
        <v>274</v>
      </c>
      <c r="C931" s="764" t="s">
        <v>66</v>
      </c>
      <c r="D931" s="737" t="s">
        <v>169</v>
      </c>
      <c r="E931" s="735">
        <v>6</v>
      </c>
      <c r="F931" s="736" t="s">
        <v>19</v>
      </c>
      <c r="G931" s="828">
        <f>ROUND('izolacja wod-kan'!I30,2)</f>
        <v>153.57</v>
      </c>
      <c r="H931" s="770" t="s">
        <v>275</v>
      </c>
      <c r="I931" s="771" t="s">
        <v>288</v>
      </c>
      <c r="J931" s="752">
        <v>35</v>
      </c>
      <c r="K931" s="709"/>
      <c r="L931" s="757"/>
    </row>
    <row r="932" spans="1:12" hidden="1">
      <c r="A932" s="689" t="s">
        <v>43</v>
      </c>
      <c r="B932" s="691"/>
      <c r="C932" s="766"/>
      <c r="D932" s="711"/>
      <c r="E932" s="692"/>
      <c r="F932" s="693"/>
      <c r="G932" s="723"/>
      <c r="H932" s="695"/>
      <c r="I932" s="772"/>
      <c r="J932" s="690"/>
      <c r="K932" s="709"/>
      <c r="L932" s="757"/>
    </row>
    <row r="933" spans="1:12" hidden="1">
      <c r="A933" s="689" t="s">
        <v>43</v>
      </c>
      <c r="B933" s="738" t="s">
        <v>274</v>
      </c>
      <c r="C933" s="764" t="s">
        <v>47</v>
      </c>
      <c r="D933" s="705" t="s">
        <v>270</v>
      </c>
      <c r="E933" s="744">
        <v>0.5</v>
      </c>
      <c r="F933" s="736" t="s">
        <v>19</v>
      </c>
      <c r="G933" s="828">
        <f>ROUND('izolacja wod-kan'!I35,2)</f>
        <v>11.39</v>
      </c>
      <c r="H933" s="770" t="s">
        <v>289</v>
      </c>
      <c r="I933" s="771" t="s">
        <v>290</v>
      </c>
      <c r="J933" s="752">
        <v>25</v>
      </c>
      <c r="K933" s="709"/>
      <c r="L933" s="757"/>
    </row>
    <row r="934" spans="1:12" hidden="1">
      <c r="A934" s="689" t="s">
        <v>43</v>
      </c>
      <c r="B934" s="738" t="s">
        <v>274</v>
      </c>
      <c r="C934" s="764" t="s">
        <v>49</v>
      </c>
      <c r="D934" s="705" t="s">
        <v>104</v>
      </c>
      <c r="E934" s="744">
        <v>0.75</v>
      </c>
      <c r="F934" s="736" t="s">
        <v>19</v>
      </c>
      <c r="G934" s="828">
        <f>ROUND('izolacja wod-kan'!I36,2)</f>
        <v>12.79</v>
      </c>
      <c r="H934" s="770" t="s">
        <v>289</v>
      </c>
      <c r="I934" s="771" t="s">
        <v>290</v>
      </c>
      <c r="J934" s="752">
        <v>25</v>
      </c>
      <c r="K934" s="709"/>
      <c r="L934" s="757"/>
    </row>
    <row r="935" spans="1:12" hidden="1">
      <c r="A935" s="689" t="s">
        <v>43</v>
      </c>
      <c r="B935" s="738" t="s">
        <v>274</v>
      </c>
      <c r="C935" s="764" t="s">
        <v>51</v>
      </c>
      <c r="D935" s="705" t="s">
        <v>105</v>
      </c>
      <c r="E935" s="744">
        <v>1</v>
      </c>
      <c r="F935" s="736" t="s">
        <v>19</v>
      </c>
      <c r="G935" s="828">
        <f>ROUND('izolacja wod-kan'!I37,2)</f>
        <v>15.8</v>
      </c>
      <c r="H935" s="770" t="s">
        <v>289</v>
      </c>
      <c r="I935" s="771" t="s">
        <v>290</v>
      </c>
      <c r="J935" s="752">
        <v>25</v>
      </c>
      <c r="K935" s="709"/>
      <c r="L935" s="757"/>
    </row>
    <row r="936" spans="1:12" hidden="1">
      <c r="A936" s="689" t="s">
        <v>43</v>
      </c>
      <c r="B936" s="738" t="s">
        <v>274</v>
      </c>
      <c r="C936" s="764" t="s">
        <v>53</v>
      </c>
      <c r="D936" s="705" t="s">
        <v>106</v>
      </c>
      <c r="E936" s="744">
        <v>1.25</v>
      </c>
      <c r="F936" s="736" t="s">
        <v>19</v>
      </c>
      <c r="G936" s="828">
        <f>ROUND('izolacja wod-kan'!I38,2)</f>
        <v>17.84</v>
      </c>
      <c r="H936" s="770" t="s">
        <v>289</v>
      </c>
      <c r="I936" s="771" t="s">
        <v>290</v>
      </c>
      <c r="J936" s="752">
        <v>25</v>
      </c>
      <c r="K936" s="709"/>
      <c r="L936" s="757"/>
    </row>
    <row r="937" spans="1:12" hidden="1">
      <c r="A937" s="689" t="s">
        <v>43</v>
      </c>
      <c r="B937" s="738" t="s">
        <v>274</v>
      </c>
      <c r="C937" s="764" t="s">
        <v>55</v>
      </c>
      <c r="D937" s="705" t="s">
        <v>107</v>
      </c>
      <c r="E937" s="744">
        <v>1.5</v>
      </c>
      <c r="F937" s="736" t="s">
        <v>19</v>
      </c>
      <c r="G937" s="828">
        <f>ROUND('izolacja wod-kan'!I39,2)</f>
        <v>24.05</v>
      </c>
      <c r="H937" s="770" t="s">
        <v>289</v>
      </c>
      <c r="I937" s="771" t="s">
        <v>290</v>
      </c>
      <c r="J937" s="752">
        <v>25</v>
      </c>
      <c r="K937" s="709"/>
      <c r="L937" s="757"/>
    </row>
    <row r="938" spans="1:12" hidden="1">
      <c r="A938" s="689" t="s">
        <v>43</v>
      </c>
      <c r="B938" s="738" t="s">
        <v>274</v>
      </c>
      <c r="C938" s="764" t="s">
        <v>57</v>
      </c>
      <c r="D938" s="705" t="s">
        <v>31</v>
      </c>
      <c r="E938" s="735">
        <v>2</v>
      </c>
      <c r="F938" s="736" t="s">
        <v>19</v>
      </c>
      <c r="G938" s="828">
        <f>ROUND('izolacja wod-kan'!I40,2)</f>
        <v>30.48</v>
      </c>
      <c r="H938" s="770" t="s">
        <v>289</v>
      </c>
      <c r="I938" s="771" t="s">
        <v>290</v>
      </c>
      <c r="J938" s="752">
        <v>25</v>
      </c>
      <c r="K938" s="709"/>
      <c r="L938" s="757"/>
    </row>
    <row r="939" spans="1:12" hidden="1">
      <c r="A939" s="689" t="s">
        <v>43</v>
      </c>
      <c r="B939" s="738" t="s">
        <v>274</v>
      </c>
      <c r="C939" s="764" t="s">
        <v>59</v>
      </c>
      <c r="D939" s="844" t="s">
        <v>33</v>
      </c>
      <c r="E939" s="845" t="s">
        <v>34</v>
      </c>
      <c r="F939" s="736" t="s">
        <v>19</v>
      </c>
      <c r="G939" s="828">
        <f>ROUND('izolacja wod-kan'!I41,2)</f>
        <v>36.99</v>
      </c>
      <c r="H939" s="770" t="s">
        <v>289</v>
      </c>
      <c r="I939" s="771" t="s">
        <v>290</v>
      </c>
      <c r="J939" s="752">
        <v>25</v>
      </c>
      <c r="K939" s="709"/>
      <c r="L939" s="757"/>
    </row>
    <row r="940" spans="1:12" hidden="1">
      <c r="A940" s="689" t="s">
        <v>43</v>
      </c>
      <c r="B940" s="738" t="s">
        <v>274</v>
      </c>
      <c r="C940" s="764" t="s">
        <v>60</v>
      </c>
      <c r="D940" s="844" t="s">
        <v>35</v>
      </c>
      <c r="E940" s="735">
        <v>3</v>
      </c>
      <c r="F940" s="736" t="s">
        <v>19</v>
      </c>
      <c r="G940" s="828">
        <f>ROUND('izolacja wod-kan'!I42,2)</f>
        <v>47.68</v>
      </c>
      <c r="H940" s="770" t="s">
        <v>289</v>
      </c>
      <c r="I940" s="771" t="s">
        <v>290</v>
      </c>
      <c r="J940" s="752">
        <v>25</v>
      </c>
      <c r="K940" s="709"/>
      <c r="L940" s="757"/>
    </row>
    <row r="941" spans="1:12" hidden="1">
      <c r="A941" s="689" t="s">
        <v>43</v>
      </c>
      <c r="B941" s="738" t="s">
        <v>274</v>
      </c>
      <c r="C941" s="764" t="s">
        <v>62</v>
      </c>
      <c r="D941" s="844" t="s">
        <v>37</v>
      </c>
      <c r="E941" s="735">
        <v>4</v>
      </c>
      <c r="F941" s="736" t="s">
        <v>19</v>
      </c>
      <c r="G941" s="828">
        <f>ROUND('izolacja wod-kan'!I43,2)</f>
        <v>69.25</v>
      </c>
      <c r="H941" s="770" t="s">
        <v>289</v>
      </c>
      <c r="I941" s="771" t="s">
        <v>290</v>
      </c>
      <c r="J941" s="752">
        <v>30</v>
      </c>
      <c r="K941" s="709"/>
      <c r="L941" s="757"/>
    </row>
    <row r="942" spans="1:12" hidden="1">
      <c r="A942" s="689" t="s">
        <v>43</v>
      </c>
      <c r="B942" s="738" t="s">
        <v>274</v>
      </c>
      <c r="C942" s="764" t="s">
        <v>63</v>
      </c>
      <c r="D942" s="737" t="s">
        <v>168</v>
      </c>
      <c r="E942" s="735">
        <v>5</v>
      </c>
      <c r="F942" s="736" t="s">
        <v>19</v>
      </c>
      <c r="G942" s="828">
        <f>ROUND('izolacja wod-kan'!I44,2)</f>
        <v>87.92</v>
      </c>
      <c r="H942" s="770" t="s">
        <v>289</v>
      </c>
      <c r="I942" s="771" t="s">
        <v>290</v>
      </c>
      <c r="J942" s="752">
        <v>30</v>
      </c>
      <c r="K942" s="709"/>
      <c r="L942" s="757"/>
    </row>
    <row r="943" spans="1:12" hidden="1">
      <c r="A943" s="689" t="s">
        <v>43</v>
      </c>
      <c r="B943" s="738" t="s">
        <v>274</v>
      </c>
      <c r="C943" s="764" t="s">
        <v>66</v>
      </c>
      <c r="D943" s="737" t="s">
        <v>169</v>
      </c>
      <c r="E943" s="735">
        <v>6</v>
      </c>
      <c r="F943" s="736" t="s">
        <v>19</v>
      </c>
      <c r="G943" s="828">
        <f>ROUND('izolacja wod-kan'!I45,2)</f>
        <v>103.94</v>
      </c>
      <c r="H943" s="770" t="s">
        <v>289</v>
      </c>
      <c r="I943" s="771" t="s">
        <v>290</v>
      </c>
      <c r="J943" s="752">
        <v>35</v>
      </c>
      <c r="K943" s="709"/>
      <c r="L943" s="757"/>
    </row>
    <row r="944" spans="1:12" hidden="1">
      <c r="A944" s="689" t="s">
        <v>43</v>
      </c>
      <c r="B944" s="691"/>
      <c r="C944" s="766"/>
      <c r="D944" s="711"/>
      <c r="E944" s="692"/>
      <c r="F944" s="693"/>
      <c r="G944" s="723"/>
      <c r="H944" s="695"/>
      <c r="I944" s="693"/>
      <c r="J944" s="690"/>
      <c r="K944" s="709"/>
      <c r="L944" s="757"/>
    </row>
    <row r="945" spans="1:12" hidden="1">
      <c r="A945" s="689" t="s">
        <v>43</v>
      </c>
      <c r="B945" s="738" t="s">
        <v>274</v>
      </c>
      <c r="C945" s="764" t="s">
        <v>47</v>
      </c>
      <c r="D945" s="705" t="s">
        <v>270</v>
      </c>
      <c r="E945" s="744">
        <v>0.5</v>
      </c>
      <c r="F945" s="736" t="s">
        <v>19</v>
      </c>
      <c r="G945" s="828">
        <f>ROUND('izolacja wod-kan'!I50,2)</f>
        <v>8.23</v>
      </c>
      <c r="H945" s="770" t="s">
        <v>289</v>
      </c>
      <c r="I945" s="736" t="s">
        <v>291</v>
      </c>
      <c r="J945" s="752">
        <v>25</v>
      </c>
      <c r="K945" s="709"/>
      <c r="L945" s="757"/>
    </row>
    <row r="946" spans="1:12" hidden="1">
      <c r="A946" s="689" t="s">
        <v>43</v>
      </c>
      <c r="B946" s="738" t="s">
        <v>274</v>
      </c>
      <c r="C946" s="764" t="s">
        <v>49</v>
      </c>
      <c r="D946" s="705" t="s">
        <v>104</v>
      </c>
      <c r="E946" s="744">
        <v>0.75</v>
      </c>
      <c r="F946" s="736" t="s">
        <v>19</v>
      </c>
      <c r="G946" s="828">
        <f>ROUND('izolacja wod-kan'!I51,2)</f>
        <v>9.3800000000000008</v>
      </c>
      <c r="H946" s="770" t="s">
        <v>289</v>
      </c>
      <c r="I946" s="736" t="s">
        <v>291</v>
      </c>
      <c r="J946" s="752">
        <v>25</v>
      </c>
      <c r="K946" s="709"/>
      <c r="L946" s="757"/>
    </row>
    <row r="947" spans="1:12" hidden="1">
      <c r="A947" s="689" t="s">
        <v>43</v>
      </c>
      <c r="B947" s="738" t="s">
        <v>274</v>
      </c>
      <c r="C947" s="764" t="s">
        <v>51</v>
      </c>
      <c r="D947" s="705" t="s">
        <v>105</v>
      </c>
      <c r="E947" s="744">
        <v>1</v>
      </c>
      <c r="F947" s="736" t="s">
        <v>19</v>
      </c>
      <c r="G947" s="828">
        <f>ROUND('izolacja wod-kan'!I52,2)</f>
        <v>11.22</v>
      </c>
      <c r="H947" s="770" t="s">
        <v>289</v>
      </c>
      <c r="I947" s="736" t="s">
        <v>291</v>
      </c>
      <c r="J947" s="752">
        <v>25</v>
      </c>
      <c r="K947" s="709"/>
      <c r="L947" s="757"/>
    </row>
    <row r="948" spans="1:12" hidden="1">
      <c r="A948" s="689" t="s">
        <v>43</v>
      </c>
      <c r="B948" s="738" t="s">
        <v>274</v>
      </c>
      <c r="C948" s="764" t="s">
        <v>53</v>
      </c>
      <c r="D948" s="705" t="s">
        <v>106</v>
      </c>
      <c r="E948" s="744">
        <v>1.25</v>
      </c>
      <c r="F948" s="736" t="s">
        <v>19</v>
      </c>
      <c r="G948" s="828">
        <f>ROUND('izolacja wod-kan'!I53,2)</f>
        <v>13.7</v>
      </c>
      <c r="H948" s="770" t="s">
        <v>289</v>
      </c>
      <c r="I948" s="736" t="s">
        <v>291</v>
      </c>
      <c r="J948" s="752">
        <v>25</v>
      </c>
      <c r="K948" s="709"/>
      <c r="L948" s="757"/>
    </row>
    <row r="949" spans="1:12" hidden="1">
      <c r="A949" s="689" t="s">
        <v>43</v>
      </c>
      <c r="B949" s="738" t="s">
        <v>274</v>
      </c>
      <c r="C949" s="764" t="s">
        <v>55</v>
      </c>
      <c r="D949" s="705" t="s">
        <v>107</v>
      </c>
      <c r="E949" s="744">
        <v>1.5</v>
      </c>
      <c r="F949" s="736" t="s">
        <v>19</v>
      </c>
      <c r="G949" s="828">
        <f>ROUND('izolacja wod-kan'!I54,2)</f>
        <v>17.71</v>
      </c>
      <c r="H949" s="770" t="s">
        <v>289</v>
      </c>
      <c r="I949" s="736" t="s">
        <v>291</v>
      </c>
      <c r="J949" s="752">
        <v>25</v>
      </c>
      <c r="K949" s="709"/>
      <c r="L949" s="757"/>
    </row>
    <row r="950" spans="1:12" hidden="1">
      <c r="A950" s="689" t="s">
        <v>43</v>
      </c>
      <c r="B950" s="738" t="s">
        <v>274</v>
      </c>
      <c r="C950" s="764" t="s">
        <v>57</v>
      </c>
      <c r="D950" s="705" t="s">
        <v>31</v>
      </c>
      <c r="E950" s="735">
        <v>2</v>
      </c>
      <c r="F950" s="736" t="s">
        <v>19</v>
      </c>
      <c r="G950" s="828">
        <f>ROUND('izolacja wod-kan'!I55,2)</f>
        <v>27.03</v>
      </c>
      <c r="H950" s="770" t="s">
        <v>289</v>
      </c>
      <c r="I950" s="736" t="s">
        <v>291</v>
      </c>
      <c r="J950" s="752">
        <v>25</v>
      </c>
      <c r="K950" s="709"/>
      <c r="L950" s="757"/>
    </row>
    <row r="951" spans="1:12" hidden="1">
      <c r="A951" s="689" t="s">
        <v>43</v>
      </c>
      <c r="B951" s="738" t="s">
        <v>274</v>
      </c>
      <c r="C951" s="764" t="s">
        <v>59</v>
      </c>
      <c r="D951" s="844" t="s">
        <v>33</v>
      </c>
      <c r="E951" s="845" t="s">
        <v>34</v>
      </c>
      <c r="F951" s="736" t="s">
        <v>19</v>
      </c>
      <c r="G951" s="828">
        <f>ROUND('izolacja wod-kan'!I56,2)</f>
        <v>31.52</v>
      </c>
      <c r="H951" s="770" t="s">
        <v>289</v>
      </c>
      <c r="I951" s="736" t="s">
        <v>291</v>
      </c>
      <c r="J951" s="752">
        <v>25</v>
      </c>
      <c r="K951" s="709"/>
      <c r="L951" s="757"/>
    </row>
    <row r="952" spans="1:12" hidden="1">
      <c r="A952" s="689" t="s">
        <v>43</v>
      </c>
      <c r="B952" s="738" t="s">
        <v>274</v>
      </c>
      <c r="C952" s="764" t="s">
        <v>60</v>
      </c>
      <c r="D952" s="844" t="s">
        <v>35</v>
      </c>
      <c r="E952" s="735">
        <v>3</v>
      </c>
      <c r="F952" s="736" t="s">
        <v>19</v>
      </c>
      <c r="G952" s="828">
        <f>ROUND('izolacja wod-kan'!I57,2)</f>
        <v>35.69</v>
      </c>
      <c r="H952" s="770" t="s">
        <v>289</v>
      </c>
      <c r="I952" s="736" t="s">
        <v>291</v>
      </c>
      <c r="J952" s="752">
        <v>25</v>
      </c>
      <c r="K952" s="709"/>
      <c r="L952" s="757"/>
    </row>
    <row r="953" spans="1:12" hidden="1">
      <c r="A953" s="689" t="s">
        <v>43</v>
      </c>
      <c r="B953" s="738" t="s">
        <v>274</v>
      </c>
      <c r="C953" s="764" t="s">
        <v>62</v>
      </c>
      <c r="D953" s="844" t="s">
        <v>37</v>
      </c>
      <c r="E953" s="735">
        <v>4</v>
      </c>
      <c r="F953" s="736" t="s">
        <v>19</v>
      </c>
      <c r="G953" s="828">
        <f>ROUND('izolacja wod-kan'!I58,2)</f>
        <v>57.61</v>
      </c>
      <c r="H953" s="770" t="s">
        <v>289</v>
      </c>
      <c r="I953" s="736" t="s">
        <v>291</v>
      </c>
      <c r="J953" s="752">
        <v>30</v>
      </c>
      <c r="K953" s="709"/>
      <c r="L953" s="757"/>
    </row>
    <row r="954" spans="1:12" hidden="1">
      <c r="A954" s="689" t="s">
        <v>43</v>
      </c>
      <c r="B954" s="738" t="s">
        <v>274</v>
      </c>
      <c r="C954" s="764" t="s">
        <v>63</v>
      </c>
      <c r="D954" s="737" t="s">
        <v>168</v>
      </c>
      <c r="E954" s="735">
        <v>5</v>
      </c>
      <c r="F954" s="736" t="s">
        <v>19</v>
      </c>
      <c r="G954" s="828">
        <f>ROUND('izolacja wod-kan'!I59,2)</f>
        <v>80.7</v>
      </c>
      <c r="H954" s="770" t="s">
        <v>289</v>
      </c>
      <c r="I954" s="736" t="s">
        <v>291</v>
      </c>
      <c r="J954" s="752">
        <v>30</v>
      </c>
      <c r="K954" s="709"/>
      <c r="L954" s="757"/>
    </row>
    <row r="955" spans="1:12" hidden="1">
      <c r="A955" s="689" t="s">
        <v>43</v>
      </c>
      <c r="B955" s="738" t="s">
        <v>274</v>
      </c>
      <c r="C955" s="764" t="s">
        <v>66</v>
      </c>
      <c r="D955" s="737" t="s">
        <v>169</v>
      </c>
      <c r="E955" s="735">
        <v>6</v>
      </c>
      <c r="F955" s="736" t="s">
        <v>19</v>
      </c>
      <c r="G955" s="828">
        <f>ROUND('izolacja wod-kan'!I60,2)</f>
        <v>84.85</v>
      </c>
      <c r="H955" s="770" t="s">
        <v>289</v>
      </c>
      <c r="I955" s="736" t="s">
        <v>291</v>
      </c>
      <c r="J955" s="752">
        <v>35</v>
      </c>
      <c r="K955" s="709"/>
      <c r="L955" s="757"/>
    </row>
    <row r="956" spans="1:12" hidden="1">
      <c r="A956" s="689" t="s">
        <v>43</v>
      </c>
      <c r="B956" s="691"/>
      <c r="C956" s="766"/>
      <c r="D956" s="711"/>
      <c r="E956" s="692"/>
      <c r="F956" s="693"/>
      <c r="G956" s="723"/>
      <c r="H956" s="695"/>
      <c r="I956" s="693"/>
      <c r="J956" s="690"/>
      <c r="K956" s="709"/>
      <c r="L956" s="757"/>
    </row>
    <row r="957" spans="1:12" hidden="1">
      <c r="A957" s="689" t="s">
        <v>43</v>
      </c>
      <c r="B957" s="738" t="s">
        <v>292</v>
      </c>
      <c r="C957" s="764" t="s">
        <v>47</v>
      </c>
      <c r="D957" s="705" t="s">
        <v>270</v>
      </c>
      <c r="E957" s="744">
        <v>0.5</v>
      </c>
      <c r="F957" s="736" t="s">
        <v>19</v>
      </c>
      <c r="G957" s="727">
        <v>7.34</v>
      </c>
      <c r="H957" s="770" t="s">
        <v>289</v>
      </c>
      <c r="I957" s="736" t="s">
        <v>293</v>
      </c>
      <c r="J957" s="752">
        <v>25</v>
      </c>
      <c r="K957" s="709"/>
      <c r="L957" s="757"/>
    </row>
    <row r="958" spans="1:12" hidden="1">
      <c r="A958" s="689" t="s">
        <v>43</v>
      </c>
      <c r="B958" s="738" t="s">
        <v>292</v>
      </c>
      <c r="C958" s="764" t="s">
        <v>49</v>
      </c>
      <c r="D958" s="705" t="s">
        <v>104</v>
      </c>
      <c r="E958" s="744">
        <v>0.75</v>
      </c>
      <c r="F958" s="736" t="s">
        <v>19</v>
      </c>
      <c r="G958" s="727">
        <v>8.48</v>
      </c>
      <c r="H958" s="770" t="s">
        <v>289</v>
      </c>
      <c r="I958" s="736" t="s">
        <v>293</v>
      </c>
      <c r="J958" s="752">
        <v>25</v>
      </c>
      <c r="K958" s="709"/>
      <c r="L958" s="757"/>
    </row>
    <row r="959" spans="1:12" hidden="1">
      <c r="A959" s="689" t="s">
        <v>43</v>
      </c>
      <c r="B959" s="738" t="s">
        <v>292</v>
      </c>
      <c r="C959" s="764" t="s">
        <v>51</v>
      </c>
      <c r="D959" s="705" t="s">
        <v>105</v>
      </c>
      <c r="E959" s="744">
        <v>1</v>
      </c>
      <c r="F959" s="736" t="s">
        <v>19</v>
      </c>
      <c r="G959" s="727">
        <v>9.93</v>
      </c>
      <c r="H959" s="770" t="s">
        <v>289</v>
      </c>
      <c r="I959" s="736" t="s">
        <v>293</v>
      </c>
      <c r="J959" s="752">
        <v>25</v>
      </c>
      <c r="K959" s="709"/>
      <c r="L959" s="757"/>
    </row>
    <row r="960" spans="1:12" hidden="1">
      <c r="A960" s="689" t="s">
        <v>43</v>
      </c>
      <c r="B960" s="691"/>
      <c r="C960" s="766"/>
      <c r="D960" s="711"/>
      <c r="E960" s="692"/>
      <c r="F960" s="693"/>
      <c r="G960" s="723"/>
      <c r="H960" s="695"/>
      <c r="I960" s="693"/>
      <c r="J960" s="690"/>
      <c r="K960" s="709"/>
      <c r="L960" s="757"/>
    </row>
    <row r="961" spans="1:12" hidden="1">
      <c r="A961" s="689" t="s">
        <v>43</v>
      </c>
      <c r="B961" s="738" t="s">
        <v>274</v>
      </c>
      <c r="C961" s="705" t="s">
        <v>47</v>
      </c>
      <c r="D961" s="705" t="s">
        <v>270</v>
      </c>
      <c r="E961" s="744">
        <v>0.5</v>
      </c>
      <c r="F961" s="736" t="s">
        <v>19</v>
      </c>
      <c r="G961" s="828">
        <f>ROUND('izolacja wod-kan'!I76,2)</f>
        <v>12.63</v>
      </c>
      <c r="H961" s="770" t="s">
        <v>289</v>
      </c>
      <c r="I961" s="736" t="s">
        <v>294</v>
      </c>
      <c r="J961" s="752">
        <v>25</v>
      </c>
      <c r="K961" s="709"/>
      <c r="L961" s="757"/>
    </row>
    <row r="962" spans="1:12" hidden="1">
      <c r="A962" s="689" t="s">
        <v>43</v>
      </c>
      <c r="B962" s="738" t="s">
        <v>274</v>
      </c>
      <c r="C962" s="705" t="s">
        <v>49</v>
      </c>
      <c r="D962" s="705" t="s">
        <v>104</v>
      </c>
      <c r="E962" s="744">
        <v>0.75</v>
      </c>
      <c r="F962" s="736" t="s">
        <v>19</v>
      </c>
      <c r="G962" s="828">
        <f>ROUND('izolacja wod-kan'!I77,2)</f>
        <v>13.6</v>
      </c>
      <c r="H962" s="770" t="s">
        <v>289</v>
      </c>
      <c r="I962" s="736" t="s">
        <v>294</v>
      </c>
      <c r="J962" s="752">
        <v>25</v>
      </c>
      <c r="K962" s="709"/>
      <c r="L962" s="757"/>
    </row>
    <row r="963" spans="1:12" hidden="1">
      <c r="A963" s="689" t="s">
        <v>43</v>
      </c>
      <c r="B963" s="738" t="s">
        <v>274</v>
      </c>
      <c r="C963" s="705" t="s">
        <v>51</v>
      </c>
      <c r="D963" s="705" t="s">
        <v>105</v>
      </c>
      <c r="E963" s="744">
        <v>1</v>
      </c>
      <c r="F963" s="736" t="s">
        <v>19</v>
      </c>
      <c r="G963" s="828">
        <f>ROUND('izolacja wod-kan'!I78,2)</f>
        <v>16.66</v>
      </c>
      <c r="H963" s="770" t="s">
        <v>289</v>
      </c>
      <c r="I963" s="736" t="s">
        <v>294</v>
      </c>
      <c r="J963" s="752">
        <v>25</v>
      </c>
      <c r="K963" s="709"/>
      <c r="L963" s="757"/>
    </row>
    <row r="964" spans="1:12" hidden="1">
      <c r="A964" s="689" t="s">
        <v>43</v>
      </c>
      <c r="B964" s="738" t="s">
        <v>274</v>
      </c>
      <c r="C964" s="705" t="s">
        <v>53</v>
      </c>
      <c r="D964" s="705" t="s">
        <v>106</v>
      </c>
      <c r="E964" s="744">
        <v>1.25</v>
      </c>
      <c r="F964" s="736" t="s">
        <v>19</v>
      </c>
      <c r="G964" s="828">
        <f>ROUND('izolacja wod-kan'!I79,2)</f>
        <v>18.45</v>
      </c>
      <c r="H964" s="770" t="s">
        <v>289</v>
      </c>
      <c r="I964" s="736" t="s">
        <v>294</v>
      </c>
      <c r="J964" s="752">
        <v>25</v>
      </c>
      <c r="K964" s="709"/>
      <c r="L964" s="757"/>
    </row>
    <row r="965" spans="1:12" hidden="1">
      <c r="A965" s="689" t="s">
        <v>43</v>
      </c>
      <c r="B965" s="738" t="s">
        <v>274</v>
      </c>
      <c r="C965" s="705" t="s">
        <v>55</v>
      </c>
      <c r="D965" s="705" t="s">
        <v>107</v>
      </c>
      <c r="E965" s="744">
        <v>1.5</v>
      </c>
      <c r="F965" s="736" t="s">
        <v>19</v>
      </c>
      <c r="G965" s="828">
        <f>ROUND('izolacja wod-kan'!I80,2)</f>
        <v>22.15</v>
      </c>
      <c r="H965" s="770" t="s">
        <v>289</v>
      </c>
      <c r="I965" s="736" t="s">
        <v>294</v>
      </c>
      <c r="J965" s="752">
        <v>25</v>
      </c>
      <c r="K965" s="709"/>
      <c r="L965" s="757"/>
    </row>
    <row r="966" spans="1:12" hidden="1">
      <c r="A966" s="689" t="s">
        <v>43</v>
      </c>
      <c r="B966" s="738" t="s">
        <v>274</v>
      </c>
      <c r="C966" s="705" t="s">
        <v>57</v>
      </c>
      <c r="D966" s="705" t="s">
        <v>31</v>
      </c>
      <c r="E966" s="735">
        <v>2</v>
      </c>
      <c r="F966" s="736" t="s">
        <v>19</v>
      </c>
      <c r="G966" s="828">
        <f>ROUND('izolacja wod-kan'!I81,2)</f>
        <v>29.76</v>
      </c>
      <c r="H966" s="770" t="s">
        <v>289</v>
      </c>
      <c r="I966" s="736" t="s">
        <v>294</v>
      </c>
      <c r="J966" s="752">
        <v>25</v>
      </c>
      <c r="K966" s="709"/>
      <c r="L966" s="757"/>
    </row>
    <row r="967" spans="1:12" hidden="1">
      <c r="A967" s="689" t="s">
        <v>43</v>
      </c>
      <c r="B967" s="738" t="s">
        <v>274</v>
      </c>
      <c r="C967" s="705" t="s">
        <v>59</v>
      </c>
      <c r="D967" s="844" t="s">
        <v>33</v>
      </c>
      <c r="E967" s="845" t="s">
        <v>34</v>
      </c>
      <c r="F967" s="736" t="s">
        <v>19</v>
      </c>
      <c r="G967" s="828">
        <f>ROUND('izolacja wod-kan'!I82,2)</f>
        <v>38.29</v>
      </c>
      <c r="H967" s="770" t="s">
        <v>289</v>
      </c>
      <c r="I967" s="736" t="s">
        <v>294</v>
      </c>
      <c r="J967" s="752">
        <v>25</v>
      </c>
      <c r="K967" s="709"/>
      <c r="L967" s="757"/>
    </row>
    <row r="968" spans="1:12" hidden="1">
      <c r="A968" s="689" t="s">
        <v>43</v>
      </c>
      <c r="B968" s="738" t="s">
        <v>274</v>
      </c>
      <c r="C968" s="705" t="s">
        <v>60</v>
      </c>
      <c r="D968" s="844" t="s">
        <v>35</v>
      </c>
      <c r="E968" s="735">
        <v>3</v>
      </c>
      <c r="F968" s="736" t="s">
        <v>19</v>
      </c>
      <c r="G968" s="828">
        <f>ROUND('izolacja wod-kan'!I83,2)</f>
        <v>46.37</v>
      </c>
      <c r="H968" s="770" t="s">
        <v>289</v>
      </c>
      <c r="I968" s="736" t="s">
        <v>294</v>
      </c>
      <c r="J968" s="752">
        <v>25</v>
      </c>
      <c r="K968" s="709"/>
      <c r="L968" s="757"/>
    </row>
    <row r="969" spans="1:12" hidden="1">
      <c r="A969" s="689" t="s">
        <v>43</v>
      </c>
      <c r="B969" s="738" t="s">
        <v>274</v>
      </c>
      <c r="C969" s="705" t="s">
        <v>62</v>
      </c>
      <c r="D969" s="844" t="s">
        <v>37</v>
      </c>
      <c r="E969" s="735">
        <v>4</v>
      </c>
      <c r="F969" s="736" t="s">
        <v>19</v>
      </c>
      <c r="G969" s="828">
        <f>ROUND('izolacja wod-kan'!I84,2)</f>
        <v>66.47</v>
      </c>
      <c r="H969" s="770" t="s">
        <v>289</v>
      </c>
      <c r="I969" s="736" t="s">
        <v>294</v>
      </c>
      <c r="J969" s="752">
        <v>30</v>
      </c>
      <c r="K969" s="709"/>
      <c r="L969" s="757"/>
    </row>
    <row r="970" spans="1:12" hidden="1">
      <c r="A970" s="689" t="s">
        <v>43</v>
      </c>
      <c r="B970" s="738" t="s">
        <v>274</v>
      </c>
      <c r="C970" s="705" t="s">
        <v>63</v>
      </c>
      <c r="D970" s="737" t="s">
        <v>168</v>
      </c>
      <c r="E970" s="735">
        <v>5</v>
      </c>
      <c r="F970" s="736" t="s">
        <v>19</v>
      </c>
      <c r="G970" s="828">
        <f>ROUND('izolacja wod-kan'!I85,2)</f>
        <v>99.66</v>
      </c>
      <c r="H970" s="770" t="s">
        <v>289</v>
      </c>
      <c r="I970" s="736" t="s">
        <v>294</v>
      </c>
      <c r="J970" s="752">
        <v>30</v>
      </c>
      <c r="K970" s="709"/>
      <c r="L970" s="757"/>
    </row>
    <row r="971" spans="1:12" hidden="1">
      <c r="A971" s="689" t="s">
        <v>43</v>
      </c>
      <c r="B971" s="738" t="s">
        <v>274</v>
      </c>
      <c r="C971" s="705" t="s">
        <v>66</v>
      </c>
      <c r="D971" s="737" t="s">
        <v>169</v>
      </c>
      <c r="E971" s="735">
        <v>6</v>
      </c>
      <c r="F971" s="736" t="s">
        <v>19</v>
      </c>
      <c r="G971" s="828">
        <f>ROUND('izolacja wod-kan'!I86,2)</f>
        <v>120.42</v>
      </c>
      <c r="H971" s="770" t="s">
        <v>289</v>
      </c>
      <c r="I971" s="736" t="s">
        <v>294</v>
      </c>
      <c r="J971" s="752">
        <v>35</v>
      </c>
      <c r="K971" s="709"/>
      <c r="L971" s="757"/>
    </row>
    <row r="972" spans="1:12" hidden="1">
      <c r="A972" s="689" t="s">
        <v>43</v>
      </c>
      <c r="B972" s="738" t="s">
        <v>274</v>
      </c>
      <c r="C972" s="705" t="s">
        <v>121</v>
      </c>
      <c r="D972" s="737" t="s">
        <v>170</v>
      </c>
      <c r="E972" s="735">
        <v>8</v>
      </c>
      <c r="F972" s="736" t="s">
        <v>19</v>
      </c>
      <c r="G972" s="828">
        <f>ROUND('izolacja wod-kan'!I87,2)</f>
        <v>100.13</v>
      </c>
      <c r="H972" s="770" t="s">
        <v>289</v>
      </c>
      <c r="I972" s="736" t="s">
        <v>294</v>
      </c>
      <c r="J972" s="752">
        <v>35</v>
      </c>
      <c r="K972" s="709"/>
      <c r="L972" s="757"/>
    </row>
    <row r="973" spans="1:12" hidden="1">
      <c r="A973" s="689" t="s">
        <v>43</v>
      </c>
      <c r="B973" s="738" t="s">
        <v>274</v>
      </c>
      <c r="C973" s="705" t="s">
        <v>122</v>
      </c>
      <c r="D973" s="737" t="s">
        <v>171</v>
      </c>
      <c r="E973" s="735">
        <v>10</v>
      </c>
      <c r="F973" s="736" t="s">
        <v>19</v>
      </c>
      <c r="G973" s="828">
        <f>ROUND('izolacja wod-kan'!I88,2)</f>
        <v>120.86</v>
      </c>
      <c r="H973" s="770" t="s">
        <v>289</v>
      </c>
      <c r="I973" s="736" t="s">
        <v>294</v>
      </c>
      <c r="J973" s="752">
        <v>35</v>
      </c>
      <c r="K973" s="709"/>
      <c r="L973" s="757"/>
    </row>
    <row r="974" spans="1:12" hidden="1">
      <c r="A974" s="689" t="s">
        <v>43</v>
      </c>
      <c r="B974" s="691"/>
      <c r="C974" s="766"/>
      <c r="D974" s="711"/>
      <c r="E974" s="692"/>
      <c r="F974" s="693"/>
      <c r="G974" s="723"/>
      <c r="H974" s="695"/>
      <c r="I974" s="693"/>
      <c r="J974" s="690"/>
      <c r="K974" s="709"/>
      <c r="L974" s="757"/>
    </row>
    <row r="975" spans="1:12" hidden="1">
      <c r="A975" s="689" t="s">
        <v>43</v>
      </c>
      <c r="B975" s="738" t="s">
        <v>274</v>
      </c>
      <c r="C975" s="705" t="s">
        <v>47</v>
      </c>
      <c r="D975" s="705" t="s">
        <v>270</v>
      </c>
      <c r="E975" s="744">
        <v>0.5</v>
      </c>
      <c r="F975" s="736" t="s">
        <v>19</v>
      </c>
      <c r="G975" s="828">
        <f>ROUND('izolacja wod-kan'!I95,2)</f>
        <v>88.2</v>
      </c>
      <c r="H975" s="770" t="s">
        <v>289</v>
      </c>
      <c r="I975" s="736" t="s">
        <v>295</v>
      </c>
      <c r="J975" s="752">
        <v>25</v>
      </c>
      <c r="K975" s="709"/>
      <c r="L975" s="757"/>
    </row>
    <row r="976" spans="1:12" hidden="1">
      <c r="A976" s="689" t="s">
        <v>43</v>
      </c>
      <c r="B976" s="738" t="s">
        <v>274</v>
      </c>
      <c r="C976" s="705" t="s">
        <v>49</v>
      </c>
      <c r="D976" s="705" t="s">
        <v>104</v>
      </c>
      <c r="E976" s="744">
        <v>0.75</v>
      </c>
      <c r="F976" s="736" t="s">
        <v>19</v>
      </c>
      <c r="G976" s="828">
        <f>ROUND('izolacja wod-kan'!I96,2)</f>
        <v>90.81</v>
      </c>
      <c r="H976" s="770" t="s">
        <v>289</v>
      </c>
      <c r="I976" s="736" t="s">
        <v>295</v>
      </c>
      <c r="J976" s="752">
        <v>25</v>
      </c>
      <c r="K976" s="709"/>
      <c r="L976" s="757"/>
    </row>
    <row r="977" spans="1:12" hidden="1">
      <c r="A977" s="689" t="s">
        <v>43</v>
      </c>
      <c r="B977" s="738" t="s">
        <v>274</v>
      </c>
      <c r="C977" s="705" t="s">
        <v>51</v>
      </c>
      <c r="D977" s="705" t="s">
        <v>105</v>
      </c>
      <c r="E977" s="744">
        <v>1</v>
      </c>
      <c r="F977" s="736" t="s">
        <v>19</v>
      </c>
      <c r="G977" s="828">
        <f>ROUND('izolacja wod-kan'!I97,2)</f>
        <v>127.91</v>
      </c>
      <c r="H977" s="770" t="s">
        <v>289</v>
      </c>
      <c r="I977" s="736" t="s">
        <v>295</v>
      </c>
      <c r="J977" s="752">
        <v>25</v>
      </c>
      <c r="K977" s="709"/>
      <c r="L977" s="757"/>
    </row>
    <row r="978" spans="1:12" hidden="1">
      <c r="A978" s="689" t="s">
        <v>43</v>
      </c>
      <c r="B978" s="738" t="s">
        <v>274</v>
      </c>
      <c r="C978" s="705" t="s">
        <v>53</v>
      </c>
      <c r="D978" s="705" t="s">
        <v>106</v>
      </c>
      <c r="E978" s="744">
        <v>1.25</v>
      </c>
      <c r="F978" s="736" t="s">
        <v>19</v>
      </c>
      <c r="G978" s="828">
        <f>ROUND('izolacja wod-kan'!I98,2)</f>
        <v>130.72</v>
      </c>
      <c r="H978" s="770" t="s">
        <v>289</v>
      </c>
      <c r="I978" s="736" t="s">
        <v>295</v>
      </c>
      <c r="J978" s="752">
        <v>25</v>
      </c>
      <c r="K978" s="709"/>
      <c r="L978" s="757"/>
    </row>
    <row r="979" spans="1:12" hidden="1">
      <c r="A979" s="689" t="s">
        <v>43</v>
      </c>
      <c r="B979" s="738" t="s">
        <v>274</v>
      </c>
      <c r="C979" s="705" t="s">
        <v>55</v>
      </c>
      <c r="D979" s="705" t="s">
        <v>107</v>
      </c>
      <c r="E979" s="744">
        <v>1.5</v>
      </c>
      <c r="F979" s="736" t="s">
        <v>19</v>
      </c>
      <c r="G979" s="828">
        <f>ROUND('izolacja wod-kan'!I99,2)</f>
        <v>150.12</v>
      </c>
      <c r="H979" s="770" t="s">
        <v>289</v>
      </c>
      <c r="I979" s="736" t="s">
        <v>295</v>
      </c>
      <c r="J979" s="752">
        <v>25</v>
      </c>
      <c r="K979" s="709"/>
      <c r="L979" s="757"/>
    </row>
    <row r="980" spans="1:12" hidden="1">
      <c r="A980" s="689" t="s">
        <v>43</v>
      </c>
      <c r="B980" s="738" t="s">
        <v>274</v>
      </c>
      <c r="C980" s="705" t="s">
        <v>57</v>
      </c>
      <c r="D980" s="705" t="s">
        <v>31</v>
      </c>
      <c r="E980" s="735">
        <v>2</v>
      </c>
      <c r="F980" s="736" t="s">
        <v>19</v>
      </c>
      <c r="G980" s="828">
        <f>ROUND('izolacja wod-kan'!I100,2)</f>
        <v>193.13</v>
      </c>
      <c r="H980" s="770" t="s">
        <v>275</v>
      </c>
      <c r="I980" s="736" t="s">
        <v>295</v>
      </c>
      <c r="J980" s="752">
        <v>25</v>
      </c>
      <c r="K980" s="709"/>
      <c r="L980" s="757"/>
    </row>
    <row r="981" spans="1:12" hidden="1">
      <c r="A981" s="689" t="s">
        <v>43</v>
      </c>
      <c r="B981" s="738" t="s">
        <v>274</v>
      </c>
      <c r="C981" s="705" t="s">
        <v>59</v>
      </c>
      <c r="D981" s="844" t="s">
        <v>33</v>
      </c>
      <c r="E981" s="845" t="s">
        <v>34</v>
      </c>
      <c r="F981" s="736" t="s">
        <v>19</v>
      </c>
      <c r="G981" s="828">
        <f>ROUND('izolacja wod-kan'!I101,2)</f>
        <v>275.97000000000003</v>
      </c>
      <c r="H981" s="770" t="s">
        <v>289</v>
      </c>
      <c r="I981" s="736" t="s">
        <v>295</v>
      </c>
      <c r="J981" s="752">
        <v>25</v>
      </c>
      <c r="K981" s="709"/>
      <c r="L981" s="757"/>
    </row>
    <row r="982" spans="1:12" hidden="1">
      <c r="A982" s="689" t="s">
        <v>43</v>
      </c>
      <c r="B982" s="738" t="s">
        <v>274</v>
      </c>
      <c r="C982" s="705" t="s">
        <v>60</v>
      </c>
      <c r="D982" s="844" t="s">
        <v>35</v>
      </c>
      <c r="E982" s="735">
        <v>3</v>
      </c>
      <c r="F982" s="736" t="s">
        <v>19</v>
      </c>
      <c r="G982" s="828">
        <f>ROUND('izolacja wod-kan'!I102,2)</f>
        <v>219.81</v>
      </c>
      <c r="H982" s="770" t="s">
        <v>289</v>
      </c>
      <c r="I982" s="736" t="s">
        <v>295</v>
      </c>
      <c r="J982" s="752">
        <v>25</v>
      </c>
      <c r="K982" s="709"/>
      <c r="L982" s="757"/>
    </row>
    <row r="983" spans="1:12" hidden="1">
      <c r="A983" s="689" t="s">
        <v>43</v>
      </c>
      <c r="B983" s="738" t="s">
        <v>274</v>
      </c>
      <c r="C983" s="705" t="s">
        <v>62</v>
      </c>
      <c r="D983" s="844" t="s">
        <v>37</v>
      </c>
      <c r="E983" s="735">
        <v>4</v>
      </c>
      <c r="F983" s="736" t="s">
        <v>19</v>
      </c>
      <c r="G983" s="828">
        <f>ROUND('izolacja wod-kan'!I103,2)</f>
        <v>229.31</v>
      </c>
      <c r="H983" s="770" t="s">
        <v>289</v>
      </c>
      <c r="I983" s="736" t="s">
        <v>295</v>
      </c>
      <c r="J983" s="752">
        <v>30</v>
      </c>
      <c r="K983" s="709"/>
      <c r="L983" s="757"/>
    </row>
    <row r="984" spans="1:12" hidden="1">
      <c r="A984" s="689" t="s">
        <v>43</v>
      </c>
      <c r="B984" s="691"/>
      <c r="C984" s="766"/>
      <c r="D984" s="711"/>
      <c r="E984" s="692"/>
      <c r="F984" s="693"/>
      <c r="G984" s="723"/>
      <c r="H984" s="695"/>
      <c r="I984" s="693"/>
      <c r="J984" s="690"/>
      <c r="K984" s="709"/>
      <c r="L984" s="757"/>
    </row>
    <row r="985" spans="1:12" hidden="1">
      <c r="A985" s="689" t="s">
        <v>43</v>
      </c>
      <c r="B985" s="738" t="s">
        <v>274</v>
      </c>
      <c r="C985" s="705" t="s">
        <v>47</v>
      </c>
      <c r="D985" s="705" t="s">
        <v>270</v>
      </c>
      <c r="E985" s="744">
        <v>0.5</v>
      </c>
      <c r="F985" s="736" t="s">
        <v>19</v>
      </c>
      <c r="G985" s="828">
        <f>ROUND('izolacja wod-kan'!I109,2)</f>
        <v>66.38</v>
      </c>
      <c r="H985" s="770" t="s">
        <v>275</v>
      </c>
      <c r="I985" s="771" t="s">
        <v>296</v>
      </c>
      <c r="J985" s="752">
        <v>25</v>
      </c>
      <c r="K985" s="709"/>
      <c r="L985" s="757"/>
    </row>
    <row r="986" spans="1:12" hidden="1">
      <c r="A986" s="689" t="s">
        <v>43</v>
      </c>
      <c r="B986" s="738" t="s">
        <v>274</v>
      </c>
      <c r="C986" s="705" t="s">
        <v>49</v>
      </c>
      <c r="D986" s="705" t="s">
        <v>104</v>
      </c>
      <c r="E986" s="744">
        <v>0.75</v>
      </c>
      <c r="F986" s="736" t="s">
        <v>19</v>
      </c>
      <c r="G986" s="828">
        <f>ROUND('izolacja wod-kan'!I110,2)</f>
        <v>70.88</v>
      </c>
      <c r="H986" s="770" t="s">
        <v>275</v>
      </c>
      <c r="I986" s="771" t="s">
        <v>296</v>
      </c>
      <c r="J986" s="752">
        <v>25</v>
      </c>
      <c r="K986" s="709"/>
      <c r="L986" s="757"/>
    </row>
    <row r="987" spans="1:12" hidden="1">
      <c r="A987" s="689" t="s">
        <v>43</v>
      </c>
      <c r="B987" s="738" t="s">
        <v>274</v>
      </c>
      <c r="C987" s="705" t="s">
        <v>51</v>
      </c>
      <c r="D987" s="705" t="s">
        <v>105</v>
      </c>
      <c r="E987" s="744">
        <v>1</v>
      </c>
      <c r="F987" s="736" t="s">
        <v>19</v>
      </c>
      <c r="G987" s="828">
        <f>ROUND('izolacja wod-kan'!I111,2)</f>
        <v>76.760000000000005</v>
      </c>
      <c r="H987" s="770" t="s">
        <v>275</v>
      </c>
      <c r="I987" s="771" t="s">
        <v>296</v>
      </c>
      <c r="J987" s="752">
        <v>25</v>
      </c>
      <c r="K987" s="709"/>
      <c r="L987" s="757"/>
    </row>
    <row r="988" spans="1:12" hidden="1">
      <c r="A988" s="689" t="s">
        <v>43</v>
      </c>
      <c r="B988" s="738" t="s">
        <v>274</v>
      </c>
      <c r="C988" s="705" t="s">
        <v>53</v>
      </c>
      <c r="D988" s="705" t="s">
        <v>106</v>
      </c>
      <c r="E988" s="744">
        <v>1.25</v>
      </c>
      <c r="F988" s="736" t="s">
        <v>19</v>
      </c>
      <c r="G988" s="828">
        <f>ROUND('izolacja wod-kan'!I112,2)</f>
        <v>88.27</v>
      </c>
      <c r="H988" s="770" t="s">
        <v>275</v>
      </c>
      <c r="I988" s="771" t="s">
        <v>296</v>
      </c>
      <c r="J988" s="752">
        <v>25</v>
      </c>
      <c r="K988" s="709"/>
      <c r="L988" s="757"/>
    </row>
    <row r="989" spans="1:12" hidden="1">
      <c r="A989" s="689" t="s">
        <v>43</v>
      </c>
      <c r="B989" s="738" t="s">
        <v>274</v>
      </c>
      <c r="C989" s="705" t="s">
        <v>55</v>
      </c>
      <c r="D989" s="705" t="s">
        <v>107</v>
      </c>
      <c r="E989" s="744">
        <v>1.5</v>
      </c>
      <c r="F989" s="736" t="s">
        <v>19</v>
      </c>
      <c r="G989" s="828">
        <f>ROUND('izolacja wod-kan'!I113,2)</f>
        <v>117.33</v>
      </c>
      <c r="H989" s="770" t="s">
        <v>275</v>
      </c>
      <c r="I989" s="771" t="s">
        <v>296</v>
      </c>
      <c r="J989" s="752">
        <v>25</v>
      </c>
      <c r="K989" s="709"/>
      <c r="L989" s="757"/>
    </row>
    <row r="990" spans="1:12" hidden="1">
      <c r="A990" s="689" t="s">
        <v>43</v>
      </c>
      <c r="B990" s="738" t="s">
        <v>274</v>
      </c>
      <c r="C990" s="705" t="s">
        <v>57</v>
      </c>
      <c r="D990" s="705" t="s">
        <v>31</v>
      </c>
      <c r="E990" s="735">
        <v>2</v>
      </c>
      <c r="F990" s="736" t="s">
        <v>19</v>
      </c>
      <c r="G990" s="828">
        <f>ROUND('izolacja wod-kan'!I114,2)</f>
        <v>143.38</v>
      </c>
      <c r="H990" s="770" t="s">
        <v>275</v>
      </c>
      <c r="I990" s="771" t="s">
        <v>296</v>
      </c>
      <c r="J990" s="752">
        <v>25</v>
      </c>
      <c r="K990" s="709"/>
      <c r="L990" s="757"/>
    </row>
    <row r="991" spans="1:12" hidden="1">
      <c r="A991" s="689" t="s">
        <v>43</v>
      </c>
      <c r="B991" s="738" t="s">
        <v>274</v>
      </c>
      <c r="C991" s="705" t="s">
        <v>59</v>
      </c>
      <c r="D991" s="844" t="s">
        <v>33</v>
      </c>
      <c r="E991" s="845" t="s">
        <v>34</v>
      </c>
      <c r="F991" s="736" t="s">
        <v>19</v>
      </c>
      <c r="G991" s="828">
        <f>ROUND('izolacja wod-kan'!I115,2)</f>
        <v>153.41</v>
      </c>
      <c r="H991" s="770" t="s">
        <v>275</v>
      </c>
      <c r="I991" s="771" t="s">
        <v>296</v>
      </c>
      <c r="J991" s="752">
        <v>25</v>
      </c>
      <c r="K991" s="709"/>
      <c r="L991" s="757"/>
    </row>
    <row r="992" spans="1:12" hidden="1">
      <c r="A992" s="689" t="s">
        <v>43</v>
      </c>
      <c r="B992" s="738" t="s">
        <v>274</v>
      </c>
      <c r="C992" s="705" t="s">
        <v>60</v>
      </c>
      <c r="D992" s="844" t="s">
        <v>35</v>
      </c>
      <c r="E992" s="735">
        <v>3</v>
      </c>
      <c r="F992" s="736" t="s">
        <v>19</v>
      </c>
      <c r="G992" s="828">
        <f>ROUND('izolacja wod-kan'!I116,2)</f>
        <v>163.94</v>
      </c>
      <c r="H992" s="770" t="s">
        <v>275</v>
      </c>
      <c r="I992" s="771" t="s">
        <v>296</v>
      </c>
      <c r="J992" s="752">
        <v>25</v>
      </c>
      <c r="K992" s="709"/>
      <c r="L992" s="757"/>
    </row>
    <row r="993" spans="1:12" hidden="1">
      <c r="A993" s="689" t="s">
        <v>43</v>
      </c>
      <c r="B993" s="738" t="s">
        <v>274</v>
      </c>
      <c r="C993" s="705" t="s">
        <v>62</v>
      </c>
      <c r="D993" s="844" t="s">
        <v>37</v>
      </c>
      <c r="E993" s="735">
        <v>4</v>
      </c>
      <c r="F993" s="736" t="s">
        <v>19</v>
      </c>
      <c r="G993" s="828">
        <f>ROUND('izolacja wod-kan'!I117,2)</f>
        <v>185.13</v>
      </c>
      <c r="H993" s="770" t="s">
        <v>275</v>
      </c>
      <c r="I993" s="771" t="s">
        <v>296</v>
      </c>
      <c r="J993" s="752">
        <v>30</v>
      </c>
      <c r="K993" s="709"/>
      <c r="L993" s="757"/>
    </row>
    <row r="994" spans="1:12" hidden="1">
      <c r="A994" s="689" t="s">
        <v>43</v>
      </c>
      <c r="B994" s="691"/>
      <c r="C994" s="766"/>
      <c r="D994" s="711"/>
      <c r="E994" s="692"/>
      <c r="F994" s="693"/>
      <c r="G994" s="723"/>
      <c r="H994" s="695"/>
      <c r="I994" s="693"/>
      <c r="J994" s="690"/>
      <c r="K994" s="709"/>
      <c r="L994" s="757"/>
    </row>
    <row r="995" spans="1:12" hidden="1">
      <c r="A995" s="689" t="s">
        <v>43</v>
      </c>
      <c r="B995" s="738" t="s">
        <v>274</v>
      </c>
      <c r="C995" s="705" t="s">
        <v>47</v>
      </c>
      <c r="D995" s="705" t="s">
        <v>99</v>
      </c>
      <c r="E995" s="744">
        <v>0.5</v>
      </c>
      <c r="F995" s="736" t="s">
        <v>19</v>
      </c>
      <c r="G995" s="828">
        <f>ROUND('izolacja wod-kan'!I122,2)</f>
        <v>36.78</v>
      </c>
      <c r="H995" s="770" t="s">
        <v>275</v>
      </c>
      <c r="I995" s="771" t="s">
        <v>297</v>
      </c>
      <c r="J995" s="752">
        <v>25</v>
      </c>
      <c r="K995" s="709"/>
      <c r="L995" s="757"/>
    </row>
    <row r="996" spans="1:12" hidden="1">
      <c r="A996" s="689" t="s">
        <v>43</v>
      </c>
      <c r="B996" s="738" t="s">
        <v>274</v>
      </c>
      <c r="C996" s="705" t="s">
        <v>49</v>
      </c>
      <c r="D996" s="705" t="s">
        <v>104</v>
      </c>
      <c r="E996" s="744">
        <v>0.75</v>
      </c>
      <c r="F996" s="736" t="s">
        <v>19</v>
      </c>
      <c r="G996" s="828">
        <f>ROUND('izolacja wod-kan'!I123,2)</f>
        <v>39.57</v>
      </c>
      <c r="H996" s="770" t="s">
        <v>275</v>
      </c>
      <c r="I996" s="771" t="s">
        <v>297</v>
      </c>
      <c r="J996" s="752">
        <v>25</v>
      </c>
      <c r="K996" s="709"/>
      <c r="L996" s="757"/>
    </row>
    <row r="997" spans="1:12" hidden="1">
      <c r="A997" s="689" t="s">
        <v>43</v>
      </c>
      <c r="B997" s="738" t="s">
        <v>274</v>
      </c>
      <c r="C997" s="705" t="s">
        <v>51</v>
      </c>
      <c r="D997" s="705" t="s">
        <v>105</v>
      </c>
      <c r="E997" s="744">
        <v>1</v>
      </c>
      <c r="F997" s="736" t="s">
        <v>19</v>
      </c>
      <c r="G997" s="828">
        <f>ROUND('izolacja wod-kan'!I124,2)</f>
        <v>43.84</v>
      </c>
      <c r="H997" s="770" t="s">
        <v>275</v>
      </c>
      <c r="I997" s="771" t="s">
        <v>297</v>
      </c>
      <c r="J997" s="752">
        <v>25</v>
      </c>
      <c r="K997" s="709"/>
      <c r="L997" s="757"/>
    </row>
    <row r="998" spans="1:12" hidden="1">
      <c r="A998" s="689" t="s">
        <v>43</v>
      </c>
      <c r="B998" s="738" t="s">
        <v>274</v>
      </c>
      <c r="C998" s="705" t="s">
        <v>53</v>
      </c>
      <c r="D998" s="705" t="s">
        <v>106</v>
      </c>
      <c r="E998" s="744">
        <v>1.25</v>
      </c>
      <c r="F998" s="736" t="s">
        <v>19</v>
      </c>
      <c r="G998" s="828">
        <f>ROUND('izolacja wod-kan'!I125,2)</f>
        <v>51.78</v>
      </c>
      <c r="H998" s="770" t="s">
        <v>275</v>
      </c>
      <c r="I998" s="771" t="s">
        <v>297</v>
      </c>
      <c r="J998" s="752">
        <v>25</v>
      </c>
      <c r="K998" s="709"/>
      <c r="L998" s="757"/>
    </row>
    <row r="999" spans="1:12" hidden="1">
      <c r="A999" s="689" t="s">
        <v>43</v>
      </c>
      <c r="B999" s="738" t="s">
        <v>274</v>
      </c>
      <c r="C999" s="705" t="s">
        <v>55</v>
      </c>
      <c r="D999" s="705" t="s">
        <v>107</v>
      </c>
      <c r="E999" s="744">
        <v>1.5</v>
      </c>
      <c r="F999" s="736" t="s">
        <v>19</v>
      </c>
      <c r="G999" s="828">
        <f>ROUND('izolacja wod-kan'!I126,2)</f>
        <v>59.58</v>
      </c>
      <c r="H999" s="770" t="s">
        <v>275</v>
      </c>
      <c r="I999" s="771" t="s">
        <v>297</v>
      </c>
      <c r="J999" s="752">
        <v>25</v>
      </c>
      <c r="K999" s="709"/>
      <c r="L999" s="757"/>
    </row>
    <row r="1000" spans="1:12" hidden="1">
      <c r="A1000" s="689" t="s">
        <v>43</v>
      </c>
      <c r="B1000" s="738" t="s">
        <v>274</v>
      </c>
      <c r="C1000" s="705" t="s">
        <v>57</v>
      </c>
      <c r="D1000" s="705" t="s">
        <v>31</v>
      </c>
      <c r="E1000" s="735">
        <v>2</v>
      </c>
      <c r="F1000" s="736" t="s">
        <v>19</v>
      </c>
      <c r="G1000" s="828">
        <f>ROUND('izolacja wod-kan'!I127,2)</f>
        <v>79.84</v>
      </c>
      <c r="H1000" s="770" t="s">
        <v>275</v>
      </c>
      <c r="I1000" s="771" t="s">
        <v>297</v>
      </c>
      <c r="J1000" s="752">
        <v>25</v>
      </c>
      <c r="K1000" s="709"/>
      <c r="L1000" s="757"/>
    </row>
    <row r="1001" spans="1:12" hidden="1">
      <c r="A1001" s="689" t="s">
        <v>43</v>
      </c>
      <c r="B1001" s="738" t="s">
        <v>274</v>
      </c>
      <c r="C1001" s="705" t="s">
        <v>59</v>
      </c>
      <c r="D1001" s="844" t="s">
        <v>33</v>
      </c>
      <c r="E1001" s="845" t="s">
        <v>34</v>
      </c>
      <c r="F1001" s="736" t="s">
        <v>19</v>
      </c>
      <c r="G1001" s="828">
        <f>ROUND('izolacja wod-kan'!I128,2)</f>
        <v>102.48</v>
      </c>
      <c r="H1001" s="770" t="s">
        <v>275</v>
      </c>
      <c r="I1001" s="771" t="s">
        <v>297</v>
      </c>
      <c r="J1001" s="752">
        <v>25</v>
      </c>
      <c r="K1001" s="709"/>
      <c r="L1001" s="757"/>
    </row>
    <row r="1002" spans="1:12" hidden="1">
      <c r="A1002" s="689" t="s">
        <v>43</v>
      </c>
      <c r="B1002" s="738" t="s">
        <v>274</v>
      </c>
      <c r="C1002" s="705" t="s">
        <v>60</v>
      </c>
      <c r="D1002" s="844" t="s">
        <v>35</v>
      </c>
      <c r="E1002" s="735">
        <v>3</v>
      </c>
      <c r="F1002" s="736" t="s">
        <v>19</v>
      </c>
      <c r="G1002" s="828">
        <f>ROUND('izolacja wod-kan'!I129,2)</f>
        <v>107.31</v>
      </c>
      <c r="H1002" s="770" t="s">
        <v>275</v>
      </c>
      <c r="I1002" s="771" t="s">
        <v>297</v>
      </c>
      <c r="J1002" s="752">
        <v>25</v>
      </c>
      <c r="K1002" s="709"/>
      <c r="L1002" s="757"/>
    </row>
    <row r="1003" spans="1:12" hidden="1">
      <c r="A1003" s="689" t="s">
        <v>43</v>
      </c>
      <c r="B1003" s="738" t="s">
        <v>274</v>
      </c>
      <c r="C1003" s="705" t="s">
        <v>62</v>
      </c>
      <c r="D1003" s="844" t="s">
        <v>37</v>
      </c>
      <c r="E1003" s="735">
        <v>4</v>
      </c>
      <c r="F1003" s="736" t="s">
        <v>19</v>
      </c>
      <c r="G1003" s="828">
        <f>ROUND('izolacja wod-kan'!I130,2)</f>
        <v>139.72</v>
      </c>
      <c r="H1003" s="770" t="s">
        <v>275</v>
      </c>
      <c r="I1003" s="771" t="s">
        <v>297</v>
      </c>
      <c r="J1003" s="752">
        <v>30</v>
      </c>
      <c r="K1003" s="709"/>
      <c r="L1003" s="757"/>
    </row>
    <row r="1004" spans="1:12" hidden="1">
      <c r="A1004" s="689" t="s">
        <v>43</v>
      </c>
      <c r="B1004" s="691"/>
      <c r="C1004" s="766"/>
      <c r="D1004" s="711"/>
      <c r="E1004" s="692"/>
      <c r="F1004" s="693"/>
      <c r="G1004" s="723"/>
      <c r="H1004" s="695"/>
      <c r="I1004" s="693"/>
      <c r="J1004" s="690"/>
      <c r="K1004" s="709"/>
      <c r="L1004" s="757"/>
    </row>
    <row r="1005" spans="1:12" hidden="1">
      <c r="A1005" s="689" t="s">
        <v>43</v>
      </c>
      <c r="B1005" s="738" t="s">
        <v>274</v>
      </c>
      <c r="C1005" s="705" t="s">
        <v>47</v>
      </c>
      <c r="D1005" s="705" t="s">
        <v>270</v>
      </c>
      <c r="E1005" s="744">
        <v>0.5</v>
      </c>
      <c r="F1005" s="736" t="s">
        <v>19</v>
      </c>
      <c r="G1005" s="828">
        <f>ROUND('izolacja wod-kan'!I137,2)</f>
        <v>32.49</v>
      </c>
      <c r="H1005" s="770" t="s">
        <v>275</v>
      </c>
      <c r="I1005" s="736" t="s">
        <v>298</v>
      </c>
      <c r="J1005" s="752">
        <v>25</v>
      </c>
      <c r="K1005" s="709"/>
      <c r="L1005" s="757"/>
    </row>
    <row r="1006" spans="1:12" hidden="1">
      <c r="A1006" s="689" t="s">
        <v>43</v>
      </c>
      <c r="B1006" s="738" t="s">
        <v>274</v>
      </c>
      <c r="C1006" s="705" t="s">
        <v>49</v>
      </c>
      <c r="D1006" s="705" t="s">
        <v>104</v>
      </c>
      <c r="E1006" s="744">
        <v>0.75</v>
      </c>
      <c r="F1006" s="736" t="s">
        <v>19</v>
      </c>
      <c r="G1006" s="828">
        <f>ROUND('izolacja wod-kan'!I138,2)</f>
        <v>33.6</v>
      </c>
      <c r="H1006" s="770" t="s">
        <v>275</v>
      </c>
      <c r="I1006" s="736" t="s">
        <v>298</v>
      </c>
      <c r="J1006" s="752">
        <v>25</v>
      </c>
      <c r="K1006" s="709"/>
      <c r="L1006" s="757"/>
    </row>
    <row r="1007" spans="1:12" hidden="1">
      <c r="A1007" s="689" t="s">
        <v>43</v>
      </c>
      <c r="B1007" s="738" t="s">
        <v>274</v>
      </c>
      <c r="C1007" s="705" t="s">
        <v>51</v>
      </c>
      <c r="D1007" s="705" t="s">
        <v>105</v>
      </c>
      <c r="E1007" s="744">
        <v>1</v>
      </c>
      <c r="F1007" s="736" t="s">
        <v>19</v>
      </c>
      <c r="G1007" s="828">
        <f>ROUND('izolacja wod-kan'!I139,2)</f>
        <v>37.94</v>
      </c>
      <c r="H1007" s="770" t="s">
        <v>275</v>
      </c>
      <c r="I1007" s="736" t="s">
        <v>298</v>
      </c>
      <c r="J1007" s="752">
        <v>25</v>
      </c>
      <c r="K1007" s="709"/>
      <c r="L1007" s="757"/>
    </row>
    <row r="1008" spans="1:12" hidden="1">
      <c r="A1008" s="689" t="s">
        <v>43</v>
      </c>
      <c r="B1008" s="738" t="s">
        <v>274</v>
      </c>
      <c r="C1008" s="705" t="s">
        <v>53</v>
      </c>
      <c r="D1008" s="705" t="s">
        <v>106</v>
      </c>
      <c r="E1008" s="744">
        <v>1.25</v>
      </c>
      <c r="F1008" s="736" t="s">
        <v>19</v>
      </c>
      <c r="G1008" s="828">
        <f>ROUND('izolacja wod-kan'!I140,2)</f>
        <v>40.42</v>
      </c>
      <c r="H1008" s="770" t="s">
        <v>275</v>
      </c>
      <c r="I1008" s="736" t="s">
        <v>298</v>
      </c>
      <c r="J1008" s="752">
        <v>25</v>
      </c>
      <c r="K1008" s="709"/>
      <c r="L1008" s="757"/>
    </row>
    <row r="1009" spans="1:12" hidden="1">
      <c r="A1009" s="689" t="s">
        <v>43</v>
      </c>
      <c r="B1009" s="738" t="s">
        <v>274</v>
      </c>
      <c r="C1009" s="705" t="s">
        <v>55</v>
      </c>
      <c r="D1009" s="705" t="s">
        <v>107</v>
      </c>
      <c r="E1009" s="744">
        <v>1.5</v>
      </c>
      <c r="F1009" s="736" t="s">
        <v>19</v>
      </c>
      <c r="G1009" s="828">
        <f>ROUND('izolacja wod-kan'!I141,2)</f>
        <v>47.4</v>
      </c>
      <c r="H1009" s="770" t="s">
        <v>275</v>
      </c>
      <c r="I1009" s="736" t="s">
        <v>298</v>
      </c>
      <c r="J1009" s="752">
        <v>25</v>
      </c>
      <c r="K1009" s="709"/>
      <c r="L1009" s="757"/>
    </row>
    <row r="1010" spans="1:12" hidden="1">
      <c r="A1010" s="689" t="s">
        <v>43</v>
      </c>
      <c r="B1010" s="738" t="s">
        <v>274</v>
      </c>
      <c r="C1010" s="705" t="s">
        <v>57</v>
      </c>
      <c r="D1010" s="705" t="s">
        <v>31</v>
      </c>
      <c r="E1010" s="735">
        <v>2</v>
      </c>
      <c r="F1010" s="736" t="s">
        <v>19</v>
      </c>
      <c r="G1010" s="828">
        <f>ROUND('izolacja wod-kan'!I142,2)</f>
        <v>63.31</v>
      </c>
      <c r="H1010" s="770" t="s">
        <v>275</v>
      </c>
      <c r="I1010" s="736" t="s">
        <v>298</v>
      </c>
      <c r="J1010" s="752">
        <v>25</v>
      </c>
      <c r="K1010" s="709"/>
      <c r="L1010" s="757"/>
    </row>
    <row r="1011" spans="1:12" hidden="1">
      <c r="A1011" s="689" t="s">
        <v>43</v>
      </c>
      <c r="B1011" s="738" t="s">
        <v>274</v>
      </c>
      <c r="C1011" s="705" t="s">
        <v>59</v>
      </c>
      <c r="D1011" s="844" t="s">
        <v>33</v>
      </c>
      <c r="E1011" s="845" t="s">
        <v>34</v>
      </c>
      <c r="F1011" s="736" t="s">
        <v>19</v>
      </c>
      <c r="G1011" s="828">
        <f>ROUND('izolacja wod-kan'!I143,2)</f>
        <v>74.010000000000005</v>
      </c>
      <c r="H1011" s="770" t="s">
        <v>275</v>
      </c>
      <c r="I1011" s="736" t="s">
        <v>298</v>
      </c>
      <c r="J1011" s="752">
        <v>25</v>
      </c>
      <c r="K1011" s="709"/>
      <c r="L1011" s="757"/>
    </row>
    <row r="1012" spans="1:12" hidden="1">
      <c r="A1012" s="689" t="s">
        <v>43</v>
      </c>
      <c r="B1012" s="738" t="s">
        <v>274</v>
      </c>
      <c r="C1012" s="705" t="s">
        <v>60</v>
      </c>
      <c r="D1012" s="844" t="s">
        <v>35</v>
      </c>
      <c r="E1012" s="735">
        <v>3</v>
      </c>
      <c r="F1012" s="736" t="s">
        <v>19</v>
      </c>
      <c r="G1012" s="828">
        <f>ROUND('izolacja wod-kan'!I144,2)</f>
        <v>79.39</v>
      </c>
      <c r="H1012" s="770" t="s">
        <v>275</v>
      </c>
      <c r="I1012" s="736" t="s">
        <v>298</v>
      </c>
      <c r="J1012" s="752">
        <v>25</v>
      </c>
      <c r="K1012" s="709"/>
      <c r="L1012" s="757"/>
    </row>
    <row r="1013" spans="1:12" hidden="1">
      <c r="A1013" s="689" t="s">
        <v>43</v>
      </c>
      <c r="B1013" s="738" t="s">
        <v>274</v>
      </c>
      <c r="C1013" s="705" t="s">
        <v>62</v>
      </c>
      <c r="D1013" s="844" t="s">
        <v>37</v>
      </c>
      <c r="E1013" s="735">
        <v>4</v>
      </c>
      <c r="F1013" s="736" t="s">
        <v>19</v>
      </c>
      <c r="G1013" s="828"/>
      <c r="H1013" s="770" t="s">
        <v>275</v>
      </c>
      <c r="I1013" s="736" t="s">
        <v>298</v>
      </c>
      <c r="J1013" s="752">
        <v>30</v>
      </c>
      <c r="K1013" s="709"/>
      <c r="L1013" s="757"/>
    </row>
    <row r="1014" spans="1:12" hidden="1">
      <c r="A1014" s="689" t="s">
        <v>43</v>
      </c>
      <c r="B1014" s="691"/>
      <c r="C1014" s="766"/>
      <c r="D1014" s="711"/>
      <c r="E1014" s="692"/>
      <c r="F1014" s="693"/>
      <c r="G1014" s="829"/>
      <c r="H1014" s="695"/>
      <c r="I1014" s="693"/>
      <c r="J1014" s="690"/>
      <c r="K1014" s="709"/>
      <c r="L1014" s="757"/>
    </row>
    <row r="1015" spans="1:12" hidden="1">
      <c r="A1015" s="689" t="s">
        <v>43</v>
      </c>
      <c r="B1015" s="738" t="s">
        <v>274</v>
      </c>
      <c r="C1015" s="705" t="s">
        <v>47</v>
      </c>
      <c r="D1015" s="705" t="s">
        <v>270</v>
      </c>
      <c r="E1015" s="744">
        <v>0.5</v>
      </c>
      <c r="F1015" s="736" t="s">
        <v>19</v>
      </c>
      <c r="G1015" s="828">
        <f>ROUND('izolacja wod-kan'!I151,2)</f>
        <v>43.91</v>
      </c>
      <c r="H1015" s="770" t="s">
        <v>299</v>
      </c>
      <c r="I1015" s="736" t="s">
        <v>300</v>
      </c>
      <c r="J1015" s="752">
        <v>25</v>
      </c>
      <c r="K1015" s="709"/>
      <c r="L1015" s="757"/>
    </row>
    <row r="1016" spans="1:12" hidden="1">
      <c r="A1016" s="689" t="s">
        <v>43</v>
      </c>
      <c r="B1016" s="738" t="s">
        <v>274</v>
      </c>
      <c r="C1016" s="705" t="s">
        <v>49</v>
      </c>
      <c r="D1016" s="705" t="s">
        <v>104</v>
      </c>
      <c r="E1016" s="744">
        <v>0.75</v>
      </c>
      <c r="F1016" s="736" t="s">
        <v>19</v>
      </c>
      <c r="G1016" s="828">
        <f>ROUND('izolacja wod-kan'!I152,2)</f>
        <v>49.05</v>
      </c>
      <c r="H1016" s="770" t="s">
        <v>299</v>
      </c>
      <c r="I1016" s="736" t="s">
        <v>300</v>
      </c>
      <c r="J1016" s="752">
        <v>25</v>
      </c>
      <c r="K1016" s="709"/>
      <c r="L1016" s="757"/>
    </row>
    <row r="1017" spans="1:12" hidden="1">
      <c r="A1017" s="689" t="s">
        <v>43</v>
      </c>
      <c r="B1017" s="738" t="s">
        <v>274</v>
      </c>
      <c r="C1017" s="705" t="s">
        <v>51</v>
      </c>
      <c r="D1017" s="705" t="s">
        <v>105</v>
      </c>
      <c r="E1017" s="744">
        <v>1</v>
      </c>
      <c r="F1017" s="736" t="s">
        <v>19</v>
      </c>
      <c r="G1017" s="828">
        <f>ROUND('izolacja wod-kan'!I153,2)</f>
        <v>58.52</v>
      </c>
      <c r="H1017" s="770" t="s">
        <v>299</v>
      </c>
      <c r="I1017" s="736" t="s">
        <v>300</v>
      </c>
      <c r="J1017" s="752">
        <v>25</v>
      </c>
      <c r="K1017" s="709"/>
      <c r="L1017" s="757"/>
    </row>
    <row r="1018" spans="1:12" hidden="1">
      <c r="A1018" s="689" t="s">
        <v>43</v>
      </c>
      <c r="B1018" s="738" t="s">
        <v>274</v>
      </c>
      <c r="C1018" s="705" t="s">
        <v>53</v>
      </c>
      <c r="D1018" s="705" t="s">
        <v>106</v>
      </c>
      <c r="E1018" s="744">
        <v>1.25</v>
      </c>
      <c r="F1018" s="736" t="s">
        <v>19</v>
      </c>
      <c r="G1018" s="828">
        <f>ROUND('izolacja wod-kan'!I154,2)</f>
        <v>68.55</v>
      </c>
      <c r="H1018" s="770" t="s">
        <v>299</v>
      </c>
      <c r="I1018" s="736" t="s">
        <v>300</v>
      </c>
      <c r="J1018" s="752">
        <v>25</v>
      </c>
      <c r="K1018" s="709"/>
      <c r="L1018" s="757"/>
    </row>
    <row r="1019" spans="1:12" hidden="1">
      <c r="A1019" s="689" t="s">
        <v>43</v>
      </c>
      <c r="B1019" s="738" t="s">
        <v>274</v>
      </c>
      <c r="C1019" s="705" t="s">
        <v>55</v>
      </c>
      <c r="D1019" s="705" t="s">
        <v>107</v>
      </c>
      <c r="E1019" s="744">
        <v>1.5</v>
      </c>
      <c r="F1019" s="736" t="s">
        <v>19</v>
      </c>
      <c r="G1019" s="828">
        <f>ROUND('izolacja wod-kan'!I155,2)</f>
        <v>84.64</v>
      </c>
      <c r="H1019" s="770" t="s">
        <v>299</v>
      </c>
      <c r="I1019" s="736" t="s">
        <v>300</v>
      </c>
      <c r="J1019" s="752">
        <v>25</v>
      </c>
      <c r="K1019" s="709"/>
      <c r="L1019" s="757"/>
    </row>
    <row r="1020" spans="1:12" hidden="1">
      <c r="A1020" s="689" t="s">
        <v>43</v>
      </c>
      <c r="B1020" s="738" t="s">
        <v>274</v>
      </c>
      <c r="C1020" s="705" t="s">
        <v>57</v>
      </c>
      <c r="D1020" s="705" t="s">
        <v>31</v>
      </c>
      <c r="E1020" s="735">
        <v>2</v>
      </c>
      <c r="F1020" s="736" t="s">
        <v>19</v>
      </c>
      <c r="G1020" s="828">
        <f>ROUND('izolacja wod-kan'!I156,2)</f>
        <v>104.67</v>
      </c>
      <c r="H1020" s="770" t="s">
        <v>299</v>
      </c>
      <c r="I1020" s="736" t="s">
        <v>300</v>
      </c>
      <c r="J1020" s="752">
        <v>25</v>
      </c>
      <c r="K1020" s="709"/>
      <c r="L1020" s="757"/>
    </row>
    <row r="1021" spans="1:12" hidden="1">
      <c r="A1021" s="689" t="s">
        <v>43</v>
      </c>
      <c r="B1021" s="738" t="s">
        <v>274</v>
      </c>
      <c r="C1021" s="705" t="s">
        <v>59</v>
      </c>
      <c r="D1021" s="844" t="s">
        <v>33</v>
      </c>
      <c r="E1021" s="845" t="s">
        <v>34</v>
      </c>
      <c r="F1021" s="736" t="s">
        <v>19</v>
      </c>
      <c r="G1021" s="828">
        <f>ROUND('izolacja wod-kan'!I157,2)</f>
        <v>124.36</v>
      </c>
      <c r="H1021" s="770" t="s">
        <v>299</v>
      </c>
      <c r="I1021" s="736" t="s">
        <v>300</v>
      </c>
      <c r="J1021" s="752">
        <v>25</v>
      </c>
      <c r="K1021" s="709"/>
      <c r="L1021" s="757"/>
    </row>
    <row r="1022" spans="1:12" hidden="1">
      <c r="A1022" s="689" t="s">
        <v>43</v>
      </c>
      <c r="B1022" s="738" t="s">
        <v>274</v>
      </c>
      <c r="C1022" s="705" t="s">
        <v>60</v>
      </c>
      <c r="D1022" s="844" t="s">
        <v>35</v>
      </c>
      <c r="E1022" s="735">
        <v>3</v>
      </c>
      <c r="F1022" s="736" t="s">
        <v>19</v>
      </c>
      <c r="G1022" s="828">
        <f>ROUND('izolacja wod-kan'!I158,2)</f>
        <v>135.97999999999999</v>
      </c>
      <c r="H1022" s="770" t="s">
        <v>299</v>
      </c>
      <c r="I1022" s="736" t="s">
        <v>300</v>
      </c>
      <c r="J1022" s="752">
        <v>25</v>
      </c>
      <c r="K1022" s="709"/>
      <c r="L1022" s="757"/>
    </row>
    <row r="1023" spans="1:12" hidden="1">
      <c r="A1023" s="689" t="s">
        <v>43</v>
      </c>
      <c r="B1023" s="738" t="s">
        <v>274</v>
      </c>
      <c r="C1023" s="705" t="s">
        <v>62</v>
      </c>
      <c r="D1023" s="844" t="s">
        <v>37</v>
      </c>
      <c r="E1023" s="735">
        <v>4</v>
      </c>
      <c r="F1023" s="736" t="s">
        <v>19</v>
      </c>
      <c r="G1023" s="828">
        <f>ROUND('izolacja wod-kan'!I159,2)</f>
        <v>192.19</v>
      </c>
      <c r="H1023" s="770" t="s">
        <v>299</v>
      </c>
      <c r="I1023" s="736" t="s">
        <v>300</v>
      </c>
      <c r="J1023" s="752">
        <v>30</v>
      </c>
      <c r="K1023" s="709"/>
      <c r="L1023" s="757"/>
    </row>
    <row r="1024" spans="1:12" hidden="1">
      <c r="A1024" s="689" t="s">
        <v>43</v>
      </c>
      <c r="B1024" s="691"/>
      <c r="C1024" s="766"/>
      <c r="D1024" s="766"/>
      <c r="E1024" s="766"/>
      <c r="F1024" s="773"/>
      <c r="G1024" s="843"/>
      <c r="H1024" s="774"/>
      <c r="I1024" s="693"/>
      <c r="J1024" s="766"/>
      <c r="K1024" s="709"/>
      <c r="L1024" s="757"/>
    </row>
    <row r="1025" spans="1:12" hidden="1">
      <c r="A1025" s="689" t="s">
        <v>43</v>
      </c>
      <c r="B1025" s="738" t="s">
        <v>274</v>
      </c>
      <c r="C1025" s="705" t="s">
        <v>47</v>
      </c>
      <c r="D1025" s="705" t="s">
        <v>270</v>
      </c>
      <c r="E1025" s="744">
        <v>0.5</v>
      </c>
      <c r="F1025" s="736" t="s">
        <v>19</v>
      </c>
      <c r="G1025" s="828">
        <f>ROUND('izolacja wod-kan'!I163,2)</f>
        <v>26.72</v>
      </c>
      <c r="H1025" s="770" t="s">
        <v>299</v>
      </c>
      <c r="I1025" s="771" t="s">
        <v>301</v>
      </c>
      <c r="J1025" s="752">
        <v>25</v>
      </c>
      <c r="K1025" s="709"/>
      <c r="L1025" s="757"/>
    </row>
    <row r="1026" spans="1:12" hidden="1">
      <c r="A1026" s="689" t="s">
        <v>43</v>
      </c>
      <c r="B1026" s="738" t="s">
        <v>274</v>
      </c>
      <c r="C1026" s="705" t="s">
        <v>49</v>
      </c>
      <c r="D1026" s="705" t="s">
        <v>104</v>
      </c>
      <c r="E1026" s="744">
        <v>0.75</v>
      </c>
      <c r="F1026" s="736" t="s">
        <v>19</v>
      </c>
      <c r="G1026" s="828">
        <f>ROUND('izolacja wod-kan'!I164,2)</f>
        <v>29.77</v>
      </c>
      <c r="H1026" s="770" t="s">
        <v>299</v>
      </c>
      <c r="I1026" s="771" t="s">
        <v>301</v>
      </c>
      <c r="J1026" s="752">
        <v>25</v>
      </c>
      <c r="K1026" s="709"/>
      <c r="L1026" s="757"/>
    </row>
    <row r="1027" spans="1:12" hidden="1">
      <c r="A1027" s="689" t="s">
        <v>43</v>
      </c>
      <c r="B1027" s="738" t="s">
        <v>274</v>
      </c>
      <c r="C1027" s="705" t="s">
        <v>51</v>
      </c>
      <c r="D1027" s="705" t="s">
        <v>105</v>
      </c>
      <c r="E1027" s="744">
        <v>1</v>
      </c>
      <c r="F1027" s="736" t="s">
        <v>19</v>
      </c>
      <c r="G1027" s="828">
        <f>ROUND('izolacja wod-kan'!I165,2)</f>
        <v>35.590000000000003</v>
      </c>
      <c r="H1027" s="770" t="s">
        <v>299</v>
      </c>
      <c r="I1027" s="771" t="s">
        <v>301</v>
      </c>
      <c r="J1027" s="752">
        <v>25</v>
      </c>
      <c r="K1027" s="709"/>
      <c r="L1027" s="757"/>
    </row>
    <row r="1028" spans="1:12" hidden="1">
      <c r="A1028" s="689" t="s">
        <v>43</v>
      </c>
      <c r="B1028" s="738" t="s">
        <v>274</v>
      </c>
      <c r="C1028" s="705" t="s">
        <v>53</v>
      </c>
      <c r="D1028" s="705" t="s">
        <v>106</v>
      </c>
      <c r="E1028" s="744">
        <v>1.25</v>
      </c>
      <c r="F1028" s="736" t="s">
        <v>19</v>
      </c>
      <c r="G1028" s="828">
        <f>ROUND('izolacja wod-kan'!I166,2)</f>
        <v>43.9</v>
      </c>
      <c r="H1028" s="770" t="s">
        <v>299</v>
      </c>
      <c r="I1028" s="771" t="s">
        <v>301</v>
      </c>
      <c r="J1028" s="752">
        <v>25</v>
      </c>
      <c r="K1028" s="709"/>
      <c r="L1028" s="757"/>
    </row>
    <row r="1029" spans="1:12" hidden="1">
      <c r="A1029" s="689" t="s">
        <v>43</v>
      </c>
      <c r="B1029" s="738" t="s">
        <v>274</v>
      </c>
      <c r="C1029" s="705" t="s">
        <v>55</v>
      </c>
      <c r="D1029" s="705" t="s">
        <v>107</v>
      </c>
      <c r="E1029" s="744">
        <v>1.5</v>
      </c>
      <c r="F1029" s="736" t="s">
        <v>19</v>
      </c>
      <c r="G1029" s="828">
        <f>ROUND('izolacja wod-kan'!I167,2)</f>
        <v>52.09</v>
      </c>
      <c r="H1029" s="770" t="s">
        <v>299</v>
      </c>
      <c r="I1029" s="771" t="s">
        <v>301</v>
      </c>
      <c r="J1029" s="752">
        <v>25</v>
      </c>
      <c r="K1029" s="709"/>
      <c r="L1029" s="757"/>
    </row>
    <row r="1030" spans="1:12" hidden="1">
      <c r="A1030" s="689" t="s">
        <v>43</v>
      </c>
      <c r="B1030" s="738" t="s">
        <v>274</v>
      </c>
      <c r="C1030" s="705" t="s">
        <v>57</v>
      </c>
      <c r="D1030" s="705" t="s">
        <v>31</v>
      </c>
      <c r="E1030" s="735">
        <v>2</v>
      </c>
      <c r="F1030" s="736" t="s">
        <v>19</v>
      </c>
      <c r="G1030" s="828">
        <f>ROUND('izolacja wod-kan'!I168,2)</f>
        <v>64.180000000000007</v>
      </c>
      <c r="H1030" s="770" t="s">
        <v>299</v>
      </c>
      <c r="I1030" s="771" t="s">
        <v>301</v>
      </c>
      <c r="J1030" s="752">
        <v>25</v>
      </c>
      <c r="K1030" s="709"/>
      <c r="L1030" s="757"/>
    </row>
    <row r="1031" spans="1:12" hidden="1">
      <c r="A1031" s="689" t="s">
        <v>43</v>
      </c>
      <c r="B1031" s="738" t="s">
        <v>274</v>
      </c>
      <c r="C1031" s="705" t="s">
        <v>59</v>
      </c>
      <c r="D1031" s="844" t="s">
        <v>33</v>
      </c>
      <c r="E1031" s="845" t="s">
        <v>34</v>
      </c>
      <c r="F1031" s="736" t="s">
        <v>19</v>
      </c>
      <c r="G1031" s="828">
        <f>ROUND('izolacja wod-kan'!I169,2)</f>
        <v>75.099999999999994</v>
      </c>
      <c r="H1031" s="770" t="s">
        <v>299</v>
      </c>
      <c r="I1031" s="771" t="s">
        <v>301</v>
      </c>
      <c r="J1031" s="752">
        <v>25</v>
      </c>
      <c r="K1031" s="709"/>
      <c r="L1031" s="757"/>
    </row>
    <row r="1032" spans="1:12" hidden="1">
      <c r="A1032" s="689" t="s">
        <v>43</v>
      </c>
      <c r="B1032" s="738" t="s">
        <v>274</v>
      </c>
      <c r="C1032" s="705" t="s">
        <v>60</v>
      </c>
      <c r="D1032" s="844" t="s">
        <v>35</v>
      </c>
      <c r="E1032" s="735">
        <v>3</v>
      </c>
      <c r="F1032" s="736" t="s">
        <v>19</v>
      </c>
      <c r="G1032" s="828">
        <f>ROUND('izolacja wod-kan'!I170,2)</f>
        <v>83.07</v>
      </c>
      <c r="H1032" s="770" t="s">
        <v>299</v>
      </c>
      <c r="I1032" s="771" t="s">
        <v>301</v>
      </c>
      <c r="J1032" s="752">
        <v>25</v>
      </c>
      <c r="K1032" s="709"/>
      <c r="L1032" s="757"/>
    </row>
    <row r="1033" spans="1:12" hidden="1">
      <c r="A1033" s="689" t="s">
        <v>43</v>
      </c>
      <c r="B1033" s="738" t="s">
        <v>274</v>
      </c>
      <c r="C1033" s="705" t="s">
        <v>62</v>
      </c>
      <c r="D1033" s="844" t="s">
        <v>37</v>
      </c>
      <c r="E1033" s="735">
        <v>4</v>
      </c>
      <c r="F1033" s="736" t="s">
        <v>19</v>
      </c>
      <c r="G1033" s="828">
        <f>ROUND('izolacja wod-kan'!I171,2)</f>
        <v>115.84</v>
      </c>
      <c r="H1033" s="770" t="s">
        <v>299</v>
      </c>
      <c r="I1033" s="771" t="s">
        <v>301</v>
      </c>
      <c r="J1033" s="752">
        <v>30</v>
      </c>
      <c r="K1033" s="709"/>
      <c r="L1033" s="757"/>
    </row>
    <row r="1034" spans="1:12" hidden="1">
      <c r="A1034" s="689" t="s">
        <v>43</v>
      </c>
      <c r="B1034" s="691"/>
      <c r="C1034" s="766"/>
      <c r="D1034" s="766"/>
      <c r="E1034" s="766"/>
      <c r="F1034" s="773"/>
      <c r="G1034" s="843"/>
      <c r="H1034" s="774"/>
      <c r="I1034" s="693"/>
      <c r="J1034" s="766"/>
      <c r="K1034" s="709"/>
      <c r="L1034" s="757"/>
    </row>
    <row r="1035" spans="1:12" hidden="1">
      <c r="A1035" s="689" t="s">
        <v>43</v>
      </c>
      <c r="B1035" s="738" t="s">
        <v>274</v>
      </c>
      <c r="C1035" s="705" t="s">
        <v>47</v>
      </c>
      <c r="D1035" s="705" t="s">
        <v>270</v>
      </c>
      <c r="E1035" s="744">
        <v>0.5</v>
      </c>
      <c r="F1035" s="736" t="s">
        <v>19</v>
      </c>
      <c r="G1035" s="828">
        <f>ROUND('izolacja wod-kan'!I177,2)</f>
        <v>15.47</v>
      </c>
      <c r="H1035" s="770" t="s">
        <v>299</v>
      </c>
      <c r="I1035" s="771" t="s">
        <v>302</v>
      </c>
      <c r="J1035" s="752">
        <v>25</v>
      </c>
      <c r="K1035" s="709"/>
      <c r="L1035" s="757"/>
    </row>
    <row r="1036" spans="1:12" hidden="1">
      <c r="A1036" s="689" t="s">
        <v>43</v>
      </c>
      <c r="B1036" s="738" t="s">
        <v>274</v>
      </c>
      <c r="C1036" s="705" t="s">
        <v>49</v>
      </c>
      <c r="D1036" s="705" t="s">
        <v>104</v>
      </c>
      <c r="E1036" s="744">
        <v>0.75</v>
      </c>
      <c r="F1036" s="736" t="s">
        <v>19</v>
      </c>
      <c r="G1036" s="828">
        <f>ROUND('izolacja wod-kan'!I178,2)</f>
        <v>17.489999999999998</v>
      </c>
      <c r="H1036" s="770" t="s">
        <v>299</v>
      </c>
      <c r="I1036" s="771" t="s">
        <v>302</v>
      </c>
      <c r="J1036" s="752">
        <v>25</v>
      </c>
      <c r="K1036" s="709"/>
      <c r="L1036" s="757"/>
    </row>
    <row r="1037" spans="1:12" hidden="1">
      <c r="A1037" s="689" t="s">
        <v>43</v>
      </c>
      <c r="B1037" s="738" t="s">
        <v>274</v>
      </c>
      <c r="C1037" s="705" t="s">
        <v>51</v>
      </c>
      <c r="D1037" s="705" t="s">
        <v>105</v>
      </c>
      <c r="E1037" s="744">
        <v>1</v>
      </c>
      <c r="F1037" s="736" t="s">
        <v>19</v>
      </c>
      <c r="G1037" s="828">
        <f>ROUND('izolacja wod-kan'!I179,2)</f>
        <v>20.6</v>
      </c>
      <c r="H1037" s="770" t="s">
        <v>299</v>
      </c>
      <c r="I1037" s="771" t="s">
        <v>302</v>
      </c>
      <c r="J1037" s="752">
        <v>25</v>
      </c>
      <c r="K1037" s="709"/>
      <c r="L1037" s="757"/>
    </row>
    <row r="1038" spans="1:12" hidden="1">
      <c r="A1038" s="689" t="s">
        <v>43</v>
      </c>
      <c r="B1038" s="738" t="s">
        <v>274</v>
      </c>
      <c r="C1038" s="705" t="s">
        <v>53</v>
      </c>
      <c r="D1038" s="705" t="s">
        <v>106</v>
      </c>
      <c r="E1038" s="744">
        <v>1.25</v>
      </c>
      <c r="F1038" s="736" t="s">
        <v>19</v>
      </c>
      <c r="G1038" s="828">
        <f>ROUND('izolacja wod-kan'!I180,2)</f>
        <v>24.41</v>
      </c>
      <c r="H1038" s="770" t="s">
        <v>299</v>
      </c>
      <c r="I1038" s="771" t="s">
        <v>302</v>
      </c>
      <c r="J1038" s="752">
        <v>25</v>
      </c>
      <c r="K1038" s="709"/>
      <c r="L1038" s="757"/>
    </row>
    <row r="1039" spans="1:12" hidden="1">
      <c r="A1039" s="689" t="s">
        <v>43</v>
      </c>
      <c r="B1039" s="738" t="s">
        <v>274</v>
      </c>
      <c r="C1039" s="705" t="s">
        <v>55</v>
      </c>
      <c r="D1039" s="705" t="s">
        <v>107</v>
      </c>
      <c r="E1039" s="744">
        <v>1.5</v>
      </c>
      <c r="F1039" s="736" t="s">
        <v>19</v>
      </c>
      <c r="G1039" s="828">
        <f>ROUND('izolacja wod-kan'!I181,2)</f>
        <v>30.67</v>
      </c>
      <c r="H1039" s="770" t="s">
        <v>299</v>
      </c>
      <c r="I1039" s="771" t="s">
        <v>302</v>
      </c>
      <c r="J1039" s="752">
        <v>25</v>
      </c>
      <c r="K1039" s="709"/>
      <c r="L1039" s="757"/>
    </row>
    <row r="1040" spans="1:12" hidden="1">
      <c r="A1040" s="689" t="s">
        <v>43</v>
      </c>
      <c r="B1040" s="738" t="s">
        <v>274</v>
      </c>
      <c r="C1040" s="705" t="s">
        <v>57</v>
      </c>
      <c r="D1040" s="705" t="s">
        <v>31</v>
      </c>
      <c r="E1040" s="735">
        <v>2</v>
      </c>
      <c r="F1040" s="736" t="s">
        <v>19</v>
      </c>
      <c r="G1040" s="828">
        <f>ROUND('izolacja wod-kan'!I182,2)</f>
        <v>37.93</v>
      </c>
      <c r="H1040" s="770" t="s">
        <v>299</v>
      </c>
      <c r="I1040" s="771" t="s">
        <v>302</v>
      </c>
      <c r="J1040" s="752">
        <v>25</v>
      </c>
      <c r="K1040" s="709"/>
      <c r="L1040" s="757"/>
    </row>
    <row r="1041" spans="1:12" hidden="1">
      <c r="A1041" s="689" t="s">
        <v>43</v>
      </c>
      <c r="B1041" s="738" t="s">
        <v>274</v>
      </c>
      <c r="C1041" s="705" t="s">
        <v>59</v>
      </c>
      <c r="D1041" s="844" t="s">
        <v>33</v>
      </c>
      <c r="E1041" s="845" t="s">
        <v>34</v>
      </c>
      <c r="F1041" s="736" t="s">
        <v>19</v>
      </c>
      <c r="G1041" s="828">
        <f>ROUND('izolacja wod-kan'!I183,2)</f>
        <v>43.41</v>
      </c>
      <c r="H1041" s="770" t="s">
        <v>299</v>
      </c>
      <c r="I1041" s="771" t="s">
        <v>302</v>
      </c>
      <c r="J1041" s="752">
        <v>25</v>
      </c>
      <c r="K1041" s="709"/>
      <c r="L1041" s="757"/>
    </row>
    <row r="1042" spans="1:12" hidden="1">
      <c r="A1042" s="689" t="s">
        <v>43</v>
      </c>
      <c r="B1042" s="738" t="s">
        <v>274</v>
      </c>
      <c r="C1042" s="705" t="s">
        <v>60</v>
      </c>
      <c r="D1042" s="844" t="s">
        <v>35</v>
      </c>
      <c r="E1042" s="735">
        <v>3</v>
      </c>
      <c r="F1042" s="736" t="s">
        <v>19</v>
      </c>
      <c r="G1042" s="828">
        <f>ROUND('izolacja wod-kan'!I184,2)</f>
        <v>51.99</v>
      </c>
      <c r="H1042" s="770" t="s">
        <v>299</v>
      </c>
      <c r="I1042" s="771" t="s">
        <v>302</v>
      </c>
      <c r="J1042" s="752">
        <v>25</v>
      </c>
      <c r="K1042" s="709"/>
      <c r="L1042" s="757"/>
    </row>
    <row r="1043" spans="1:12" hidden="1">
      <c r="A1043" s="689" t="s">
        <v>43</v>
      </c>
      <c r="B1043" s="738" t="s">
        <v>274</v>
      </c>
      <c r="C1043" s="705" t="s">
        <v>62</v>
      </c>
      <c r="D1043" s="844" t="s">
        <v>37</v>
      </c>
      <c r="E1043" s="735">
        <v>4</v>
      </c>
      <c r="F1043" s="736" t="s">
        <v>19</v>
      </c>
      <c r="G1043" s="828">
        <f>ROUND('izolacja wod-kan'!I185,2)</f>
        <v>87.21</v>
      </c>
      <c r="H1043" s="770" t="s">
        <v>299</v>
      </c>
      <c r="I1043" s="771" t="s">
        <v>302</v>
      </c>
      <c r="J1043" s="752">
        <v>30</v>
      </c>
      <c r="K1043" s="709"/>
      <c r="L1043" s="757"/>
    </row>
    <row r="1044" spans="1:12" hidden="1">
      <c r="A1044" s="689" t="s">
        <v>43</v>
      </c>
      <c r="B1044" s="691"/>
      <c r="C1044" s="766"/>
      <c r="D1044" s="766"/>
      <c r="E1044" s="766"/>
      <c r="F1044" s="773"/>
      <c r="G1044" s="843"/>
      <c r="H1044" s="774"/>
      <c r="I1044" s="693"/>
      <c r="J1044" s="766"/>
      <c r="K1044" s="709"/>
      <c r="L1044" s="757"/>
    </row>
    <row r="1045" spans="1:12" hidden="1">
      <c r="A1045" s="689" t="s">
        <v>43</v>
      </c>
      <c r="B1045" s="738" t="s">
        <v>274</v>
      </c>
      <c r="C1045" s="705" t="s">
        <v>47</v>
      </c>
      <c r="D1045" s="705" t="s">
        <v>270</v>
      </c>
      <c r="E1045" s="744">
        <v>0.5</v>
      </c>
      <c r="F1045" s="736" t="s">
        <v>19</v>
      </c>
      <c r="G1045" s="828">
        <f>ROUND('izolacja wod-kan'!I190,2)</f>
        <v>13.72</v>
      </c>
      <c r="H1045" s="770" t="s">
        <v>299</v>
      </c>
      <c r="I1045" s="736" t="s">
        <v>303</v>
      </c>
      <c r="J1045" s="752">
        <v>25</v>
      </c>
      <c r="K1045" s="709"/>
      <c r="L1045" s="757"/>
    </row>
    <row r="1046" spans="1:12" hidden="1">
      <c r="A1046" s="689" t="s">
        <v>43</v>
      </c>
      <c r="B1046" s="738" t="s">
        <v>274</v>
      </c>
      <c r="C1046" s="705" t="s">
        <v>49</v>
      </c>
      <c r="D1046" s="705" t="s">
        <v>104</v>
      </c>
      <c r="E1046" s="744">
        <v>0.75</v>
      </c>
      <c r="F1046" s="736" t="s">
        <v>19</v>
      </c>
      <c r="G1046" s="828">
        <f>ROUND('izolacja wod-kan'!I191,2)</f>
        <v>15.1</v>
      </c>
      <c r="H1046" s="770" t="s">
        <v>299</v>
      </c>
      <c r="I1046" s="736" t="s">
        <v>303</v>
      </c>
      <c r="J1046" s="752">
        <v>25</v>
      </c>
      <c r="K1046" s="709"/>
      <c r="L1046" s="757"/>
    </row>
    <row r="1047" spans="1:12" hidden="1">
      <c r="A1047" s="689" t="s">
        <v>43</v>
      </c>
      <c r="B1047" s="738" t="s">
        <v>274</v>
      </c>
      <c r="C1047" s="705" t="s">
        <v>51</v>
      </c>
      <c r="D1047" s="705" t="s">
        <v>105</v>
      </c>
      <c r="E1047" s="744">
        <v>1</v>
      </c>
      <c r="F1047" s="736" t="s">
        <v>19</v>
      </c>
      <c r="G1047" s="828">
        <f>ROUND('izolacja wod-kan'!I192,2)</f>
        <v>16.16</v>
      </c>
      <c r="H1047" s="770" t="s">
        <v>299</v>
      </c>
      <c r="I1047" s="736" t="s">
        <v>303</v>
      </c>
      <c r="J1047" s="752">
        <v>25</v>
      </c>
      <c r="K1047" s="709"/>
      <c r="L1047" s="757"/>
    </row>
    <row r="1048" spans="1:12" hidden="1">
      <c r="A1048" s="689" t="s">
        <v>43</v>
      </c>
      <c r="B1048" s="738" t="s">
        <v>274</v>
      </c>
      <c r="C1048" s="705" t="s">
        <v>53</v>
      </c>
      <c r="D1048" s="705" t="s">
        <v>106</v>
      </c>
      <c r="E1048" s="744">
        <v>1.25</v>
      </c>
      <c r="F1048" s="736" t="s">
        <v>19</v>
      </c>
      <c r="G1048" s="828">
        <f>ROUND('izolacja wod-kan'!I193,2)</f>
        <v>17.98</v>
      </c>
      <c r="H1048" s="770" t="s">
        <v>299</v>
      </c>
      <c r="I1048" s="736" t="s">
        <v>303</v>
      </c>
      <c r="J1048" s="752">
        <v>25</v>
      </c>
      <c r="K1048" s="709"/>
      <c r="L1048" s="757"/>
    </row>
    <row r="1049" spans="1:12" hidden="1">
      <c r="A1049" s="689" t="s">
        <v>43</v>
      </c>
      <c r="B1049" s="738" t="s">
        <v>274</v>
      </c>
      <c r="C1049" s="705" t="s">
        <v>55</v>
      </c>
      <c r="D1049" s="705" t="s">
        <v>107</v>
      </c>
      <c r="E1049" s="744">
        <v>1.5</v>
      </c>
      <c r="F1049" s="736" t="s">
        <v>19</v>
      </c>
      <c r="G1049" s="828">
        <f>ROUND('izolacja wod-kan'!I194,2)</f>
        <v>21.77</v>
      </c>
      <c r="H1049" s="770" t="s">
        <v>299</v>
      </c>
      <c r="I1049" s="736" t="s">
        <v>303</v>
      </c>
      <c r="J1049" s="752">
        <v>25</v>
      </c>
      <c r="K1049" s="709"/>
      <c r="L1049" s="757"/>
    </row>
    <row r="1050" spans="1:12" hidden="1">
      <c r="A1050" s="689" t="s">
        <v>43</v>
      </c>
      <c r="B1050" s="738" t="s">
        <v>274</v>
      </c>
      <c r="C1050" s="705" t="s">
        <v>57</v>
      </c>
      <c r="D1050" s="705" t="s">
        <v>31</v>
      </c>
      <c r="E1050" s="735">
        <v>2</v>
      </c>
      <c r="F1050" s="736" t="s">
        <v>19</v>
      </c>
      <c r="G1050" s="828">
        <f>ROUND('izolacja wod-kan'!I195,2)</f>
        <v>27.01</v>
      </c>
      <c r="H1050" s="770" t="s">
        <v>299</v>
      </c>
      <c r="I1050" s="736" t="s">
        <v>303</v>
      </c>
      <c r="J1050" s="752">
        <v>25</v>
      </c>
      <c r="K1050" s="709"/>
      <c r="L1050" s="757"/>
    </row>
    <row r="1051" spans="1:12" hidden="1">
      <c r="A1051" s="689" t="s">
        <v>43</v>
      </c>
      <c r="B1051" s="738" t="s">
        <v>274</v>
      </c>
      <c r="C1051" s="705" t="s">
        <v>59</v>
      </c>
      <c r="D1051" s="844" t="s">
        <v>33</v>
      </c>
      <c r="E1051" s="845" t="s">
        <v>34</v>
      </c>
      <c r="F1051" s="736" t="s">
        <v>19</v>
      </c>
      <c r="G1051" s="828">
        <f>ROUND('izolacja wod-kan'!I196,2)</f>
        <v>33.21</v>
      </c>
      <c r="H1051" s="770" t="s">
        <v>299</v>
      </c>
      <c r="I1051" s="736" t="s">
        <v>303</v>
      </c>
      <c r="J1051" s="752">
        <v>25</v>
      </c>
      <c r="K1051" s="709"/>
      <c r="L1051" s="757"/>
    </row>
    <row r="1052" spans="1:12" hidden="1">
      <c r="A1052" s="689" t="s">
        <v>43</v>
      </c>
      <c r="B1052" s="738" t="s">
        <v>274</v>
      </c>
      <c r="C1052" s="705" t="s">
        <v>60</v>
      </c>
      <c r="D1052" s="844" t="s">
        <v>35</v>
      </c>
      <c r="E1052" s="735">
        <v>3</v>
      </c>
      <c r="F1052" s="736" t="s">
        <v>19</v>
      </c>
      <c r="G1052" s="828">
        <f>ROUND('izolacja wod-kan'!I197,2)</f>
        <v>40.19</v>
      </c>
      <c r="H1052" s="770" t="s">
        <v>299</v>
      </c>
      <c r="I1052" s="736" t="s">
        <v>303</v>
      </c>
      <c r="J1052" s="752">
        <v>25</v>
      </c>
      <c r="K1052" s="709"/>
      <c r="L1052" s="757"/>
    </row>
    <row r="1053" spans="1:12" hidden="1">
      <c r="A1053" s="689" t="s">
        <v>43</v>
      </c>
      <c r="B1053" s="738" t="s">
        <v>274</v>
      </c>
      <c r="C1053" s="705" t="s">
        <v>62</v>
      </c>
      <c r="D1053" s="844" t="s">
        <v>37</v>
      </c>
      <c r="E1053" s="735">
        <v>4</v>
      </c>
      <c r="F1053" s="736" t="s">
        <v>19</v>
      </c>
      <c r="G1053" s="828">
        <f>ROUND('izolacja wod-kan'!I198,2)</f>
        <v>64.010000000000005</v>
      </c>
      <c r="H1053" s="770" t="s">
        <v>299</v>
      </c>
      <c r="I1053" s="736" t="s">
        <v>303</v>
      </c>
      <c r="J1053" s="752">
        <v>30</v>
      </c>
      <c r="K1053" s="709"/>
      <c r="L1053" s="757"/>
    </row>
    <row r="1054" spans="1:12" hidden="1">
      <c r="A1054" s="689" t="s">
        <v>43</v>
      </c>
      <c r="B1054" s="691"/>
      <c r="C1054" s="766"/>
      <c r="D1054" s="711"/>
      <c r="E1054" s="692"/>
      <c r="F1054" s="693"/>
      <c r="G1054" s="829"/>
      <c r="H1054" s="695"/>
      <c r="I1054" s="693"/>
      <c r="J1054" s="690"/>
      <c r="K1054" s="709"/>
      <c r="L1054" s="757"/>
    </row>
    <row r="1055" spans="1:12" hidden="1">
      <c r="A1055" s="689" t="s">
        <v>43</v>
      </c>
      <c r="B1055" s="738" t="s">
        <v>279</v>
      </c>
      <c r="C1055" s="764" t="s">
        <v>47</v>
      </c>
      <c r="D1055" s="705" t="s">
        <v>270</v>
      </c>
      <c r="E1055" s="744">
        <v>0.5</v>
      </c>
      <c r="F1055" s="736" t="s">
        <v>19</v>
      </c>
      <c r="G1055" s="828">
        <f>ROUND('izolacja wod-kan'!I204,2)</f>
        <v>3.87</v>
      </c>
      <c r="H1055" s="704" t="s">
        <v>304</v>
      </c>
      <c r="I1055" s="736" t="s">
        <v>305</v>
      </c>
      <c r="J1055" s="752">
        <v>25</v>
      </c>
      <c r="K1055" s="704" t="s">
        <v>306</v>
      </c>
      <c r="L1055" s="757"/>
    </row>
    <row r="1056" spans="1:12" hidden="1">
      <c r="A1056" s="689" t="s">
        <v>43</v>
      </c>
      <c r="B1056" s="738" t="s">
        <v>279</v>
      </c>
      <c r="C1056" s="764" t="s">
        <v>49</v>
      </c>
      <c r="D1056" s="705" t="s">
        <v>104</v>
      </c>
      <c r="E1056" s="744">
        <v>0.75</v>
      </c>
      <c r="F1056" s="736" t="s">
        <v>19</v>
      </c>
      <c r="G1056" s="828">
        <f>ROUND('izolacja wod-kan'!I205,2)</f>
        <v>4.1399999999999997</v>
      </c>
      <c r="H1056" s="704" t="s">
        <v>304</v>
      </c>
      <c r="I1056" s="736" t="s">
        <v>305</v>
      </c>
      <c r="J1056" s="752">
        <v>25</v>
      </c>
      <c r="K1056" s="709"/>
      <c r="L1056" s="757"/>
    </row>
    <row r="1057" spans="1:12" hidden="1">
      <c r="A1057" s="689" t="s">
        <v>43</v>
      </c>
      <c r="B1057" s="738" t="s">
        <v>279</v>
      </c>
      <c r="C1057" s="764" t="s">
        <v>51</v>
      </c>
      <c r="D1057" s="705" t="s">
        <v>105</v>
      </c>
      <c r="E1057" s="744">
        <v>1</v>
      </c>
      <c r="F1057" s="736" t="s">
        <v>19</v>
      </c>
      <c r="G1057" s="828">
        <f>ROUND('izolacja wod-kan'!I206,2)</f>
        <v>5.24</v>
      </c>
      <c r="H1057" s="704" t="s">
        <v>304</v>
      </c>
      <c r="I1057" s="736" t="s">
        <v>305</v>
      </c>
      <c r="J1057" s="752">
        <v>25</v>
      </c>
      <c r="K1057" s="709"/>
      <c r="L1057" s="757"/>
    </row>
    <row r="1058" spans="1:12" hidden="1">
      <c r="A1058" s="689" t="s">
        <v>43</v>
      </c>
      <c r="B1058" s="738" t="s">
        <v>279</v>
      </c>
      <c r="C1058" s="764" t="s">
        <v>53</v>
      </c>
      <c r="D1058" s="705" t="s">
        <v>106</v>
      </c>
      <c r="E1058" s="744">
        <v>1.25</v>
      </c>
      <c r="F1058" s="736" t="s">
        <v>19</v>
      </c>
      <c r="G1058" s="828">
        <f>ROUND('izolacja wod-kan'!I207,2)</f>
        <v>9.73</v>
      </c>
      <c r="H1058" s="704" t="s">
        <v>304</v>
      </c>
      <c r="I1058" s="736" t="s">
        <v>305</v>
      </c>
      <c r="J1058" s="752">
        <v>25</v>
      </c>
      <c r="K1058" s="709"/>
      <c r="L1058" s="757"/>
    </row>
    <row r="1059" spans="1:12" hidden="1">
      <c r="A1059" s="689" t="s">
        <v>43</v>
      </c>
      <c r="B1059" s="738" t="s">
        <v>279</v>
      </c>
      <c r="C1059" s="764" t="s">
        <v>55</v>
      </c>
      <c r="D1059" s="705" t="s">
        <v>107</v>
      </c>
      <c r="E1059" s="744">
        <v>1.5</v>
      </c>
      <c r="F1059" s="736" t="s">
        <v>19</v>
      </c>
      <c r="G1059" s="828">
        <f>ROUND('izolacja wod-kan'!I208,2)</f>
        <v>11.21</v>
      </c>
      <c r="H1059" s="704" t="s">
        <v>304</v>
      </c>
      <c r="I1059" s="736" t="s">
        <v>305</v>
      </c>
      <c r="J1059" s="752">
        <v>25</v>
      </c>
      <c r="K1059" s="709"/>
      <c r="L1059" s="757"/>
    </row>
    <row r="1060" spans="1:12" hidden="1">
      <c r="A1060" s="689" t="s">
        <v>43</v>
      </c>
      <c r="B1060" s="738" t="s">
        <v>279</v>
      </c>
      <c r="C1060" s="764" t="s">
        <v>57</v>
      </c>
      <c r="D1060" s="705" t="s">
        <v>31</v>
      </c>
      <c r="E1060" s="735">
        <v>2</v>
      </c>
      <c r="F1060" s="736" t="s">
        <v>19</v>
      </c>
      <c r="G1060" s="828">
        <f>ROUND('izolacja wod-kan'!I209,2)</f>
        <v>13.03</v>
      </c>
      <c r="H1060" s="704" t="s">
        <v>304</v>
      </c>
      <c r="I1060" s="736" t="s">
        <v>305</v>
      </c>
      <c r="J1060" s="752">
        <v>25</v>
      </c>
      <c r="K1060" s="709"/>
      <c r="L1060" s="757"/>
    </row>
    <row r="1061" spans="1:12" hidden="1">
      <c r="A1061" s="689" t="s">
        <v>43</v>
      </c>
      <c r="B1061" s="738" t="s">
        <v>279</v>
      </c>
      <c r="C1061" s="764" t="s">
        <v>59</v>
      </c>
      <c r="D1061" s="844" t="s">
        <v>33</v>
      </c>
      <c r="E1061" s="845" t="s">
        <v>34</v>
      </c>
      <c r="F1061" s="736" t="s">
        <v>19</v>
      </c>
      <c r="G1061" s="828">
        <f>ROUND('izolacja wod-kan'!I210,2)</f>
        <v>21.12</v>
      </c>
      <c r="H1061" s="704" t="s">
        <v>304</v>
      </c>
      <c r="I1061" s="736" t="s">
        <v>305</v>
      </c>
      <c r="J1061" s="752">
        <v>25</v>
      </c>
      <c r="K1061" s="709"/>
      <c r="L1061" s="757"/>
    </row>
    <row r="1062" spans="1:12" hidden="1">
      <c r="A1062" s="689" t="s">
        <v>43</v>
      </c>
      <c r="B1062" s="691"/>
      <c r="C1062" s="766"/>
      <c r="D1062" s="711"/>
      <c r="E1062" s="692"/>
      <c r="F1062" s="693"/>
      <c r="G1062" s="829"/>
      <c r="H1062" s="695"/>
      <c r="I1062" s="693"/>
      <c r="J1062" s="690"/>
      <c r="K1062" s="709"/>
      <c r="L1062" s="757"/>
    </row>
    <row r="1063" spans="1:12" hidden="1">
      <c r="A1063" s="689" t="s">
        <v>43</v>
      </c>
      <c r="B1063" s="738" t="s">
        <v>279</v>
      </c>
      <c r="C1063" s="764" t="s">
        <v>47</v>
      </c>
      <c r="D1063" s="705" t="s">
        <v>270</v>
      </c>
      <c r="E1063" s="744">
        <v>0.5</v>
      </c>
      <c r="F1063" s="736" t="s">
        <v>19</v>
      </c>
      <c r="G1063" s="828">
        <f>ROUND('izolacja wod-kan'!I215,2)</f>
        <v>5.7</v>
      </c>
      <c r="H1063" s="704" t="s">
        <v>304</v>
      </c>
      <c r="I1063" s="771" t="s">
        <v>307</v>
      </c>
      <c r="J1063" s="752">
        <v>25</v>
      </c>
      <c r="K1063" s="709"/>
      <c r="L1063" s="757"/>
    </row>
    <row r="1064" spans="1:12" hidden="1">
      <c r="A1064" s="689" t="s">
        <v>43</v>
      </c>
      <c r="B1064" s="738" t="s">
        <v>279</v>
      </c>
      <c r="C1064" s="764" t="s">
        <v>49</v>
      </c>
      <c r="D1064" s="705" t="s">
        <v>104</v>
      </c>
      <c r="E1064" s="744">
        <v>0.75</v>
      </c>
      <c r="F1064" s="736" t="s">
        <v>19</v>
      </c>
      <c r="G1064" s="828">
        <f>ROUND('izolacja wod-kan'!I216,2)</f>
        <v>6.47</v>
      </c>
      <c r="H1064" s="704" t="s">
        <v>304</v>
      </c>
      <c r="I1064" s="771" t="s">
        <v>307</v>
      </c>
      <c r="J1064" s="752">
        <v>25</v>
      </c>
      <c r="K1064" s="709"/>
      <c r="L1064" s="757"/>
    </row>
    <row r="1065" spans="1:12" hidden="1">
      <c r="A1065" s="689" t="s">
        <v>43</v>
      </c>
      <c r="B1065" s="738" t="s">
        <v>279</v>
      </c>
      <c r="C1065" s="764" t="s">
        <v>51</v>
      </c>
      <c r="D1065" s="705" t="s">
        <v>105</v>
      </c>
      <c r="E1065" s="744">
        <v>1</v>
      </c>
      <c r="F1065" s="736" t="s">
        <v>19</v>
      </c>
      <c r="G1065" s="828">
        <f>ROUND('izolacja wod-kan'!I217,2)</f>
        <v>8.06</v>
      </c>
      <c r="H1065" s="704" t="s">
        <v>304</v>
      </c>
      <c r="I1065" s="771" t="s">
        <v>307</v>
      </c>
      <c r="J1065" s="752">
        <v>25</v>
      </c>
      <c r="K1065" s="709"/>
      <c r="L1065" s="757"/>
    </row>
    <row r="1066" spans="1:12" hidden="1">
      <c r="A1066" s="689" t="s">
        <v>43</v>
      </c>
      <c r="B1066" s="738" t="s">
        <v>279</v>
      </c>
      <c r="C1066" s="764" t="s">
        <v>53</v>
      </c>
      <c r="D1066" s="705" t="s">
        <v>106</v>
      </c>
      <c r="E1066" s="744">
        <v>1.25</v>
      </c>
      <c r="F1066" s="736" t="s">
        <v>19</v>
      </c>
      <c r="G1066" s="828">
        <f>ROUND('izolacja wod-kan'!I218,2)</f>
        <v>9.14</v>
      </c>
      <c r="H1066" s="704" t="s">
        <v>304</v>
      </c>
      <c r="I1066" s="771" t="s">
        <v>307</v>
      </c>
      <c r="J1066" s="752">
        <v>25</v>
      </c>
      <c r="K1066" s="709"/>
      <c r="L1066" s="757"/>
    </row>
    <row r="1067" spans="1:12" hidden="1">
      <c r="A1067" s="689" t="s">
        <v>43</v>
      </c>
      <c r="B1067" s="738" t="s">
        <v>279</v>
      </c>
      <c r="C1067" s="764" t="s">
        <v>55</v>
      </c>
      <c r="D1067" s="705" t="s">
        <v>107</v>
      </c>
      <c r="E1067" s="744">
        <v>1.5</v>
      </c>
      <c r="F1067" s="736" t="s">
        <v>19</v>
      </c>
      <c r="G1067" s="828">
        <f>ROUND('izolacja wod-kan'!I219,2)</f>
        <v>10.97</v>
      </c>
      <c r="H1067" s="704" t="s">
        <v>304</v>
      </c>
      <c r="I1067" s="771" t="s">
        <v>307</v>
      </c>
      <c r="J1067" s="752">
        <v>25</v>
      </c>
      <c r="K1067" s="709"/>
      <c r="L1067" s="757"/>
    </row>
    <row r="1068" spans="1:12" hidden="1">
      <c r="A1068" s="689" t="s">
        <v>43</v>
      </c>
      <c r="B1068" s="738" t="s">
        <v>279</v>
      </c>
      <c r="C1068" s="764" t="s">
        <v>57</v>
      </c>
      <c r="D1068" s="705" t="s">
        <v>31</v>
      </c>
      <c r="E1068" s="735">
        <v>2</v>
      </c>
      <c r="F1068" s="736" t="s">
        <v>19</v>
      </c>
      <c r="G1068" s="828">
        <f>ROUND('izolacja wod-kan'!I220,2)</f>
        <v>14.97</v>
      </c>
      <c r="H1068" s="704" t="s">
        <v>304</v>
      </c>
      <c r="I1068" s="771" t="s">
        <v>307</v>
      </c>
      <c r="J1068" s="752">
        <v>25</v>
      </c>
      <c r="K1068" s="709"/>
      <c r="L1068" s="757"/>
    </row>
    <row r="1069" spans="1:12" hidden="1">
      <c r="A1069" s="689" t="s">
        <v>43</v>
      </c>
      <c r="B1069" s="738" t="s">
        <v>279</v>
      </c>
      <c r="C1069" s="764" t="s">
        <v>59</v>
      </c>
      <c r="D1069" s="844" t="s">
        <v>33</v>
      </c>
      <c r="E1069" s="845" t="s">
        <v>34</v>
      </c>
      <c r="F1069" s="736" t="s">
        <v>19</v>
      </c>
      <c r="G1069" s="828">
        <f>ROUND('izolacja wod-kan'!I221,2)</f>
        <v>17.59</v>
      </c>
      <c r="H1069" s="704" t="s">
        <v>304</v>
      </c>
      <c r="I1069" s="771" t="s">
        <v>307</v>
      </c>
      <c r="J1069" s="752">
        <v>25</v>
      </c>
      <c r="K1069" s="709"/>
      <c r="L1069" s="757"/>
    </row>
    <row r="1070" spans="1:12" hidden="1">
      <c r="A1070" s="689" t="s">
        <v>43</v>
      </c>
      <c r="B1070" s="738" t="s">
        <v>279</v>
      </c>
      <c r="C1070" s="764" t="s">
        <v>60</v>
      </c>
      <c r="D1070" s="844" t="s">
        <v>35</v>
      </c>
      <c r="E1070" s="735">
        <v>3</v>
      </c>
      <c r="F1070" s="736" t="s">
        <v>19</v>
      </c>
      <c r="G1070" s="828">
        <f>ROUND('izolacja wod-kan'!I222,2)</f>
        <v>21.53</v>
      </c>
      <c r="H1070" s="704" t="s">
        <v>304</v>
      </c>
      <c r="I1070" s="771" t="s">
        <v>307</v>
      </c>
      <c r="J1070" s="752">
        <v>25</v>
      </c>
      <c r="K1070" s="709"/>
      <c r="L1070" s="757"/>
    </row>
    <row r="1071" spans="1:12" hidden="1">
      <c r="A1071" s="689" t="s">
        <v>43</v>
      </c>
      <c r="B1071" s="738" t="s">
        <v>279</v>
      </c>
      <c r="C1071" s="764" t="s">
        <v>62</v>
      </c>
      <c r="D1071" s="844" t="s">
        <v>37</v>
      </c>
      <c r="E1071" s="735">
        <v>4</v>
      </c>
      <c r="F1071" s="736" t="s">
        <v>19</v>
      </c>
      <c r="G1071" s="828">
        <f>ROUND('izolacja wod-kan'!I223,2)</f>
        <v>27.73</v>
      </c>
      <c r="H1071" s="704" t="s">
        <v>304</v>
      </c>
      <c r="I1071" s="771" t="s">
        <v>307</v>
      </c>
      <c r="J1071" s="752">
        <v>30</v>
      </c>
      <c r="K1071" s="709"/>
      <c r="L1071" s="757"/>
    </row>
    <row r="1072" spans="1:12" hidden="1">
      <c r="A1072" s="689" t="s">
        <v>43</v>
      </c>
      <c r="B1072" s="691"/>
      <c r="C1072" s="766"/>
      <c r="D1072" s="711"/>
      <c r="E1072" s="692"/>
      <c r="F1072" s="693"/>
      <c r="G1072" s="829"/>
      <c r="H1072" s="695"/>
      <c r="I1072" s="693"/>
      <c r="J1072" s="690"/>
      <c r="K1072" s="709"/>
      <c r="L1072" s="757"/>
    </row>
    <row r="1073" spans="1:12" hidden="1">
      <c r="A1073" s="689" t="s">
        <v>43</v>
      </c>
      <c r="B1073" s="738" t="s">
        <v>279</v>
      </c>
      <c r="C1073" s="764" t="s">
        <v>47</v>
      </c>
      <c r="D1073" s="705" t="s">
        <v>270</v>
      </c>
      <c r="E1073" s="744">
        <v>0.5</v>
      </c>
      <c r="F1073" s="736" t="s">
        <v>19</v>
      </c>
      <c r="G1073" s="828">
        <f>ROUND('izolacja wod-kan'!I228,2)</f>
        <v>9.59</v>
      </c>
      <c r="H1073" s="704" t="s">
        <v>304</v>
      </c>
      <c r="I1073" s="771" t="s">
        <v>308</v>
      </c>
      <c r="J1073" s="752">
        <v>25</v>
      </c>
      <c r="K1073" s="709"/>
      <c r="L1073" s="757"/>
    </row>
    <row r="1074" spans="1:12" hidden="1">
      <c r="A1074" s="689" t="s">
        <v>43</v>
      </c>
      <c r="B1074" s="738" t="s">
        <v>279</v>
      </c>
      <c r="C1074" s="764" t="s">
        <v>49</v>
      </c>
      <c r="D1074" s="705" t="s">
        <v>104</v>
      </c>
      <c r="E1074" s="744">
        <v>0.75</v>
      </c>
      <c r="F1074" s="736" t="s">
        <v>19</v>
      </c>
      <c r="G1074" s="828">
        <f>ROUND('izolacja wod-kan'!I229,2)</f>
        <v>10.71</v>
      </c>
      <c r="H1074" s="704" t="s">
        <v>304</v>
      </c>
      <c r="I1074" s="771" t="s">
        <v>308</v>
      </c>
      <c r="J1074" s="752">
        <v>25</v>
      </c>
      <c r="K1074" s="709"/>
      <c r="L1074" s="757"/>
    </row>
    <row r="1075" spans="1:12" hidden="1">
      <c r="A1075" s="689" t="s">
        <v>43</v>
      </c>
      <c r="B1075" s="738" t="s">
        <v>279</v>
      </c>
      <c r="C1075" s="764" t="s">
        <v>51</v>
      </c>
      <c r="D1075" s="705" t="s">
        <v>105</v>
      </c>
      <c r="E1075" s="744">
        <v>1</v>
      </c>
      <c r="F1075" s="736" t="s">
        <v>19</v>
      </c>
      <c r="G1075" s="828">
        <f>ROUND('izolacja wod-kan'!I230,2)</f>
        <v>12.79</v>
      </c>
      <c r="H1075" s="704" t="s">
        <v>304</v>
      </c>
      <c r="I1075" s="771" t="s">
        <v>308</v>
      </c>
      <c r="J1075" s="752">
        <v>25</v>
      </c>
      <c r="K1075" s="709"/>
      <c r="L1075" s="757"/>
    </row>
    <row r="1076" spans="1:12" hidden="1">
      <c r="A1076" s="689" t="s">
        <v>43</v>
      </c>
      <c r="B1076" s="738" t="s">
        <v>279</v>
      </c>
      <c r="C1076" s="764" t="s">
        <v>53</v>
      </c>
      <c r="D1076" s="705" t="s">
        <v>106</v>
      </c>
      <c r="E1076" s="744">
        <v>1.25</v>
      </c>
      <c r="F1076" s="736" t="s">
        <v>19</v>
      </c>
      <c r="G1076" s="828">
        <f>ROUND('izolacja wod-kan'!I231,2)</f>
        <v>14.29</v>
      </c>
      <c r="H1076" s="704" t="s">
        <v>304</v>
      </c>
      <c r="I1076" s="771" t="s">
        <v>308</v>
      </c>
      <c r="J1076" s="752">
        <v>25</v>
      </c>
      <c r="K1076" s="709"/>
      <c r="L1076" s="757"/>
    </row>
    <row r="1077" spans="1:12" hidden="1">
      <c r="A1077" s="689" t="s">
        <v>43</v>
      </c>
      <c r="B1077" s="738" t="s">
        <v>279</v>
      </c>
      <c r="C1077" s="764" t="s">
        <v>55</v>
      </c>
      <c r="D1077" s="705" t="s">
        <v>107</v>
      </c>
      <c r="E1077" s="744">
        <v>1.5</v>
      </c>
      <c r="F1077" s="736" t="s">
        <v>19</v>
      </c>
      <c r="G1077" s="828">
        <f>ROUND('izolacja wod-kan'!I232,2)</f>
        <v>17.3</v>
      </c>
      <c r="H1077" s="704" t="s">
        <v>304</v>
      </c>
      <c r="I1077" s="771" t="s">
        <v>308</v>
      </c>
      <c r="J1077" s="752">
        <v>25</v>
      </c>
      <c r="K1077" s="709"/>
      <c r="L1077" s="757"/>
    </row>
    <row r="1078" spans="1:12" hidden="1">
      <c r="A1078" s="689" t="s">
        <v>43</v>
      </c>
      <c r="B1078" s="738" t="s">
        <v>279</v>
      </c>
      <c r="C1078" s="764" t="s">
        <v>57</v>
      </c>
      <c r="D1078" s="705" t="s">
        <v>31</v>
      </c>
      <c r="E1078" s="735">
        <v>2</v>
      </c>
      <c r="F1078" s="736" t="s">
        <v>19</v>
      </c>
      <c r="G1078" s="828">
        <f>ROUND('izolacja wod-kan'!I233,2)</f>
        <v>22.46</v>
      </c>
      <c r="H1078" s="704" t="s">
        <v>304</v>
      </c>
      <c r="I1078" s="771" t="s">
        <v>308</v>
      </c>
      <c r="J1078" s="752">
        <v>25</v>
      </c>
      <c r="K1078" s="709"/>
      <c r="L1078" s="757"/>
    </row>
    <row r="1079" spans="1:12" hidden="1">
      <c r="A1079" s="689" t="s">
        <v>43</v>
      </c>
      <c r="B1079" s="738" t="s">
        <v>279</v>
      </c>
      <c r="C1079" s="764" t="s">
        <v>59</v>
      </c>
      <c r="D1079" s="844" t="s">
        <v>33</v>
      </c>
      <c r="E1079" s="845" t="s">
        <v>34</v>
      </c>
      <c r="F1079" s="736" t="s">
        <v>19</v>
      </c>
      <c r="G1079" s="828">
        <f>ROUND('izolacja wod-kan'!I234,2)</f>
        <v>28.52</v>
      </c>
      <c r="H1079" s="704" t="s">
        <v>304</v>
      </c>
      <c r="I1079" s="771" t="s">
        <v>308</v>
      </c>
      <c r="J1079" s="752">
        <v>25</v>
      </c>
      <c r="K1079" s="709"/>
      <c r="L1079" s="757"/>
    </row>
    <row r="1080" spans="1:12" hidden="1">
      <c r="A1080" s="689" t="s">
        <v>43</v>
      </c>
      <c r="B1080" s="738" t="s">
        <v>279</v>
      </c>
      <c r="C1080" s="764" t="s">
        <v>60</v>
      </c>
      <c r="D1080" s="844" t="s">
        <v>35</v>
      </c>
      <c r="E1080" s="735">
        <v>3</v>
      </c>
      <c r="F1080" s="736" t="s">
        <v>19</v>
      </c>
      <c r="G1080" s="828">
        <f>ROUND('izolacja wod-kan'!I235,2)</f>
        <v>47.09</v>
      </c>
      <c r="H1080" s="704" t="s">
        <v>304</v>
      </c>
      <c r="I1080" s="771" t="s">
        <v>308</v>
      </c>
      <c r="J1080" s="752">
        <v>25</v>
      </c>
      <c r="K1080" s="709"/>
      <c r="L1080" s="757"/>
    </row>
    <row r="1081" spans="1:12" hidden="1">
      <c r="A1081" s="689" t="s">
        <v>43</v>
      </c>
      <c r="B1081" s="738" t="s">
        <v>279</v>
      </c>
      <c r="C1081" s="764" t="s">
        <v>62</v>
      </c>
      <c r="D1081" s="844" t="s">
        <v>37</v>
      </c>
      <c r="E1081" s="735">
        <v>4</v>
      </c>
      <c r="F1081" s="736" t="s">
        <v>19</v>
      </c>
      <c r="G1081" s="828">
        <f>ROUND('izolacja wod-kan'!I236,2)</f>
        <v>53.3</v>
      </c>
      <c r="H1081" s="704" t="s">
        <v>304</v>
      </c>
      <c r="I1081" s="771" t="s">
        <v>308</v>
      </c>
      <c r="J1081" s="752">
        <v>30</v>
      </c>
      <c r="K1081" s="709"/>
      <c r="L1081" s="757"/>
    </row>
    <row r="1082" spans="1:12" hidden="1">
      <c r="A1082" s="689" t="s">
        <v>43</v>
      </c>
      <c r="B1082" s="691"/>
      <c r="C1082" s="766"/>
      <c r="D1082" s="711"/>
      <c r="E1082" s="692"/>
      <c r="F1082" s="693"/>
      <c r="G1082" s="829"/>
      <c r="H1082" s="695"/>
      <c r="I1082" s="693"/>
      <c r="J1082" s="690"/>
      <c r="K1082" s="709"/>
      <c r="L1082" s="757"/>
    </row>
    <row r="1083" spans="1:12" hidden="1">
      <c r="A1083" s="689" t="s">
        <v>43</v>
      </c>
      <c r="B1083" s="738" t="s">
        <v>279</v>
      </c>
      <c r="C1083" s="764" t="s">
        <v>47</v>
      </c>
      <c r="D1083" s="705" t="s">
        <v>270</v>
      </c>
      <c r="E1083" s="744">
        <v>0.5</v>
      </c>
      <c r="F1083" s="736" t="s">
        <v>19</v>
      </c>
      <c r="G1083" s="828">
        <f>ROUND('izolacja wod-kan'!I241,2)</f>
        <v>12.44</v>
      </c>
      <c r="H1083" s="704" t="s">
        <v>304</v>
      </c>
      <c r="I1083" s="736" t="s">
        <v>309</v>
      </c>
      <c r="J1083" s="752">
        <v>25</v>
      </c>
      <c r="K1083" s="709"/>
      <c r="L1083" s="757"/>
    </row>
    <row r="1084" spans="1:12" hidden="1">
      <c r="A1084" s="689" t="s">
        <v>43</v>
      </c>
      <c r="B1084" s="738" t="s">
        <v>279</v>
      </c>
      <c r="C1084" s="764" t="s">
        <v>49</v>
      </c>
      <c r="D1084" s="705" t="s">
        <v>104</v>
      </c>
      <c r="E1084" s="744">
        <v>0.75</v>
      </c>
      <c r="F1084" s="736" t="s">
        <v>19</v>
      </c>
      <c r="G1084" s="828">
        <f>ROUND('izolacja wod-kan'!I242,2)</f>
        <v>14.02</v>
      </c>
      <c r="H1084" s="704" t="s">
        <v>304</v>
      </c>
      <c r="I1084" s="736" t="s">
        <v>309</v>
      </c>
      <c r="J1084" s="752">
        <v>25</v>
      </c>
      <c r="K1084" s="709"/>
      <c r="L1084" s="757"/>
    </row>
    <row r="1085" spans="1:12" hidden="1">
      <c r="A1085" s="689" t="s">
        <v>43</v>
      </c>
      <c r="B1085" s="738" t="s">
        <v>279</v>
      </c>
      <c r="C1085" s="764" t="s">
        <v>51</v>
      </c>
      <c r="D1085" s="705" t="s">
        <v>105</v>
      </c>
      <c r="E1085" s="744">
        <v>1</v>
      </c>
      <c r="F1085" s="736" t="s">
        <v>19</v>
      </c>
      <c r="G1085" s="828">
        <f>ROUND('izolacja wod-kan'!I243,2)</f>
        <v>16.11</v>
      </c>
      <c r="H1085" s="704" t="s">
        <v>304</v>
      </c>
      <c r="I1085" s="736" t="s">
        <v>309</v>
      </c>
      <c r="J1085" s="752">
        <v>25</v>
      </c>
      <c r="K1085" s="709"/>
      <c r="L1085" s="757"/>
    </row>
    <row r="1086" spans="1:12" hidden="1">
      <c r="A1086" s="689" t="s">
        <v>43</v>
      </c>
      <c r="B1086" s="738" t="s">
        <v>279</v>
      </c>
      <c r="C1086" s="764" t="s">
        <v>53</v>
      </c>
      <c r="D1086" s="705" t="s">
        <v>106</v>
      </c>
      <c r="E1086" s="744">
        <v>1.25</v>
      </c>
      <c r="F1086" s="736" t="s">
        <v>19</v>
      </c>
      <c r="G1086" s="828">
        <f>ROUND('izolacja wod-kan'!I244,2)</f>
        <v>18.18</v>
      </c>
      <c r="H1086" s="704" t="s">
        <v>304</v>
      </c>
      <c r="I1086" s="736" t="s">
        <v>309</v>
      </c>
      <c r="J1086" s="752">
        <v>25</v>
      </c>
      <c r="K1086" s="709"/>
      <c r="L1086" s="757"/>
    </row>
    <row r="1087" spans="1:12" hidden="1">
      <c r="A1087" s="689" t="s">
        <v>43</v>
      </c>
      <c r="B1087" s="738" t="s">
        <v>279</v>
      </c>
      <c r="C1087" s="764" t="s">
        <v>55</v>
      </c>
      <c r="D1087" s="705" t="s">
        <v>107</v>
      </c>
      <c r="E1087" s="744">
        <v>1.5</v>
      </c>
      <c r="F1087" s="736" t="s">
        <v>19</v>
      </c>
      <c r="G1087" s="828">
        <f>ROUND('izolacja wod-kan'!I245,2)</f>
        <v>26.01</v>
      </c>
      <c r="H1087" s="704" t="s">
        <v>304</v>
      </c>
      <c r="I1087" s="736" t="s">
        <v>309</v>
      </c>
      <c r="J1087" s="752">
        <v>25</v>
      </c>
      <c r="K1087" s="709"/>
      <c r="L1087" s="757"/>
    </row>
    <row r="1088" spans="1:12" hidden="1">
      <c r="A1088" s="689" t="s">
        <v>43</v>
      </c>
      <c r="B1088" s="738" t="s">
        <v>279</v>
      </c>
      <c r="C1088" s="764" t="s">
        <v>57</v>
      </c>
      <c r="D1088" s="705" t="s">
        <v>31</v>
      </c>
      <c r="E1088" s="735">
        <v>2</v>
      </c>
      <c r="F1088" s="736" t="s">
        <v>19</v>
      </c>
      <c r="G1088" s="828">
        <f>ROUND('izolacja wod-kan'!I246,2)</f>
        <v>39.03</v>
      </c>
      <c r="H1088" s="704" t="s">
        <v>304</v>
      </c>
      <c r="I1088" s="736" t="s">
        <v>309</v>
      </c>
      <c r="J1088" s="752">
        <v>25</v>
      </c>
      <c r="K1088" s="709"/>
      <c r="L1088" s="757"/>
    </row>
    <row r="1089" spans="1:12" hidden="1">
      <c r="A1089" s="689" t="s">
        <v>43</v>
      </c>
      <c r="B1089" s="738" t="s">
        <v>279</v>
      </c>
      <c r="C1089" s="764" t="s">
        <v>59</v>
      </c>
      <c r="D1089" s="844" t="s">
        <v>33</v>
      </c>
      <c r="E1089" s="845" t="s">
        <v>34</v>
      </c>
      <c r="F1089" s="736" t="s">
        <v>19</v>
      </c>
      <c r="G1089" s="828">
        <f>ROUND('izolacja wod-kan'!I247,2)</f>
        <v>50.46</v>
      </c>
      <c r="H1089" s="704" t="s">
        <v>304</v>
      </c>
      <c r="I1089" s="736" t="s">
        <v>309</v>
      </c>
      <c r="J1089" s="752">
        <v>25</v>
      </c>
      <c r="K1089" s="709"/>
      <c r="L1089" s="757"/>
    </row>
    <row r="1090" spans="1:12" hidden="1">
      <c r="A1090" s="689" t="s">
        <v>43</v>
      </c>
      <c r="B1090" s="738" t="s">
        <v>279</v>
      </c>
      <c r="C1090" s="764" t="s">
        <v>60</v>
      </c>
      <c r="D1090" s="844" t="s">
        <v>35</v>
      </c>
      <c r="E1090" s="735">
        <v>3</v>
      </c>
      <c r="F1090" s="736" t="s">
        <v>19</v>
      </c>
      <c r="G1090" s="828">
        <f>ROUND('izolacja wod-kan'!I248,2)</f>
        <v>66.72</v>
      </c>
      <c r="H1090" s="704" t="s">
        <v>304</v>
      </c>
      <c r="I1090" s="736" t="s">
        <v>309</v>
      </c>
      <c r="J1090" s="752">
        <v>25</v>
      </c>
      <c r="K1090" s="709"/>
      <c r="L1090" s="757"/>
    </row>
    <row r="1091" spans="1:12" hidden="1">
      <c r="A1091" s="689" t="s">
        <v>43</v>
      </c>
      <c r="B1091" s="738" t="s">
        <v>279</v>
      </c>
      <c r="C1091" s="764" t="s">
        <v>62</v>
      </c>
      <c r="D1091" s="844" t="s">
        <v>37</v>
      </c>
      <c r="E1091" s="735">
        <v>4</v>
      </c>
      <c r="F1091" s="736" t="s">
        <v>19</v>
      </c>
      <c r="G1091" s="828">
        <f>ROUND('izolacja wod-kan'!I249,2)</f>
        <v>82.63</v>
      </c>
      <c r="H1091" s="704" t="s">
        <v>304</v>
      </c>
      <c r="I1091" s="736" t="s">
        <v>309</v>
      </c>
      <c r="J1091" s="752">
        <v>30</v>
      </c>
      <c r="K1091" s="709"/>
      <c r="L1091" s="757"/>
    </row>
    <row r="1092" spans="1:12" ht="16.5" hidden="1">
      <c r="A1092" s="731" t="s">
        <v>310</v>
      </c>
      <c r="B1092" s="738" t="s">
        <v>311</v>
      </c>
      <c r="C1092" s="764"/>
      <c r="D1092" s="737"/>
      <c r="E1092" s="735"/>
      <c r="F1092" s="736" t="s">
        <v>312</v>
      </c>
      <c r="G1092" s="828"/>
      <c r="H1092" s="704"/>
      <c r="I1092" s="736"/>
      <c r="J1092" s="738">
        <v>43</v>
      </c>
      <c r="K1092" s="709"/>
      <c r="L1092" s="757"/>
    </row>
    <row r="1093" spans="1:12" hidden="1">
      <c r="A1093" s="689"/>
      <c r="B1093" s="691"/>
      <c r="C1093" s="766"/>
      <c r="D1093" s="711"/>
      <c r="E1093" s="692"/>
      <c r="F1093" s="693"/>
      <c r="G1093" s="693"/>
      <c r="H1093" s="695"/>
      <c r="I1093" s="693"/>
      <c r="J1093" s="690"/>
      <c r="K1093" s="709"/>
      <c r="L1093" s="757"/>
    </row>
    <row r="1094" spans="1:12" hidden="1">
      <c r="A1094" s="689" t="s">
        <v>160</v>
      </c>
      <c r="B1094" s="775" t="s">
        <v>313</v>
      </c>
      <c r="C1094" s="705"/>
      <c r="D1094" s="705"/>
      <c r="E1094" s="735"/>
      <c r="F1094" s="736" t="s">
        <v>312</v>
      </c>
      <c r="G1094" s="828">
        <f>'robocizna WDK'!D127</f>
        <v>95</v>
      </c>
      <c r="H1094" s="704"/>
      <c r="I1094" s="705"/>
      <c r="J1094" s="738">
        <v>120</v>
      </c>
      <c r="K1094" s="709"/>
      <c r="L1094" s="757"/>
    </row>
    <row r="1095" spans="1:12" hidden="1">
      <c r="A1095" s="689" t="s">
        <v>160</v>
      </c>
      <c r="B1095" s="775" t="s">
        <v>314</v>
      </c>
      <c r="C1095" s="705"/>
      <c r="D1095" s="705"/>
      <c r="E1095" s="735"/>
      <c r="F1095" s="736" t="s">
        <v>312</v>
      </c>
      <c r="G1095" s="828">
        <f>'robocizna WDK'!D128</f>
        <v>120</v>
      </c>
      <c r="H1095" s="704"/>
      <c r="I1095" s="705"/>
      <c r="J1095" s="738">
        <v>120</v>
      </c>
      <c r="K1095" s="709"/>
      <c r="L1095" s="757"/>
    </row>
    <row r="1096" spans="1:12" hidden="1">
      <c r="A1096" s="689" t="s">
        <v>160</v>
      </c>
      <c r="B1096" s="775" t="s">
        <v>315</v>
      </c>
      <c r="C1096" s="705"/>
      <c r="D1096" s="705"/>
      <c r="E1096" s="735"/>
      <c r="F1096" s="736" t="s">
        <v>312</v>
      </c>
      <c r="G1096" s="828">
        <f>'robocizna WDK'!D129</f>
        <v>140</v>
      </c>
      <c r="H1096" s="704"/>
      <c r="I1096" s="705"/>
      <c r="J1096" s="738">
        <v>120</v>
      </c>
      <c r="K1096" s="709"/>
      <c r="L1096" s="757"/>
    </row>
    <row r="1097" spans="1:12" hidden="1">
      <c r="A1097" s="689" t="s">
        <v>160</v>
      </c>
      <c r="B1097" s="775" t="s">
        <v>316</v>
      </c>
      <c r="C1097" s="705"/>
      <c r="D1097" s="705"/>
      <c r="E1097" s="735"/>
      <c r="F1097" s="736" t="s">
        <v>312</v>
      </c>
      <c r="G1097" s="828">
        <f>'robocizna WDK'!D130</f>
        <v>290</v>
      </c>
      <c r="H1097" s="704"/>
      <c r="I1097" s="705"/>
      <c r="J1097" s="738">
        <v>190</v>
      </c>
      <c r="K1097" s="709"/>
      <c r="L1097" s="757"/>
    </row>
    <row r="1098" spans="1:12" hidden="1">
      <c r="A1098" s="689" t="s">
        <v>160</v>
      </c>
      <c r="B1098" s="738" t="s">
        <v>317</v>
      </c>
      <c r="C1098" s="705"/>
      <c r="D1098" s="705"/>
      <c r="E1098" s="735"/>
      <c r="F1098" s="736" t="s">
        <v>19</v>
      </c>
      <c r="G1098" s="828"/>
      <c r="H1098" s="704"/>
      <c r="I1098" s="705"/>
      <c r="J1098" s="738">
        <v>100</v>
      </c>
      <c r="K1098" s="709"/>
      <c r="L1098" s="757"/>
    </row>
    <row r="1099" spans="1:12" hidden="1">
      <c r="A1099" s="689"/>
      <c r="B1099" s="776"/>
      <c r="C1099" s="691"/>
      <c r="D1099" s="691"/>
      <c r="E1099" s="692"/>
      <c r="F1099" s="693"/>
      <c r="G1099" s="829"/>
      <c r="H1099" s="695"/>
      <c r="I1099" s="691"/>
      <c r="J1099" s="690"/>
      <c r="K1099" s="709"/>
      <c r="L1099" s="757"/>
    </row>
    <row r="1100" spans="1:12" hidden="1">
      <c r="A1100" s="689" t="s">
        <v>134</v>
      </c>
      <c r="B1100" s="724" t="s">
        <v>318</v>
      </c>
      <c r="C1100" s="764" t="s">
        <v>47</v>
      </c>
      <c r="D1100" s="764" t="s">
        <v>21</v>
      </c>
      <c r="E1100" s="735"/>
      <c r="F1100" s="736" t="s">
        <v>319</v>
      </c>
      <c r="G1100" s="828"/>
      <c r="H1100" s="704"/>
      <c r="I1100" s="736" t="s">
        <v>320</v>
      </c>
      <c r="J1100" s="738">
        <v>30</v>
      </c>
      <c r="K1100" s="709"/>
      <c r="L1100" s="757"/>
    </row>
    <row r="1101" spans="1:12" hidden="1">
      <c r="A1101" s="689" t="s">
        <v>134</v>
      </c>
      <c r="B1101" s="724" t="s">
        <v>318</v>
      </c>
      <c r="C1101" s="764" t="s">
        <v>49</v>
      </c>
      <c r="D1101" s="764" t="s">
        <v>23</v>
      </c>
      <c r="E1101" s="735"/>
      <c r="F1101" s="736" t="s">
        <v>319</v>
      </c>
      <c r="G1101" s="828"/>
      <c r="H1101" s="704"/>
      <c r="I1101" s="736" t="s">
        <v>320</v>
      </c>
      <c r="J1101" s="738">
        <v>35</v>
      </c>
      <c r="K1101" s="709"/>
      <c r="L1101" s="757"/>
    </row>
    <row r="1102" spans="1:12" hidden="1">
      <c r="A1102" s="689" t="s">
        <v>134</v>
      </c>
      <c r="B1102" s="724" t="s">
        <v>318</v>
      </c>
      <c r="C1102" s="734" t="s">
        <v>51</v>
      </c>
      <c r="D1102" s="734" t="s">
        <v>25</v>
      </c>
      <c r="E1102" s="735"/>
      <c r="F1102" s="736" t="s">
        <v>319</v>
      </c>
      <c r="G1102" s="828"/>
      <c r="H1102" s="704"/>
      <c r="I1102" s="736" t="s">
        <v>320</v>
      </c>
      <c r="J1102" s="738">
        <v>35</v>
      </c>
      <c r="K1102" s="709"/>
      <c r="L1102" s="757"/>
    </row>
    <row r="1103" spans="1:12" hidden="1">
      <c r="A1103" s="689" t="s">
        <v>134</v>
      </c>
      <c r="B1103" s="776"/>
      <c r="C1103" s="691"/>
      <c r="D1103" s="691"/>
      <c r="E1103" s="692"/>
      <c r="F1103" s="693"/>
      <c r="G1103" s="693"/>
      <c r="H1103" s="695"/>
      <c r="I1103" s="691"/>
      <c r="J1103" s="690"/>
      <c r="K1103" s="709"/>
      <c r="L1103" s="757"/>
    </row>
    <row r="1104" spans="1:12" hidden="1">
      <c r="A1104" s="689" t="s">
        <v>134</v>
      </c>
      <c r="B1104" s="724" t="s">
        <v>318</v>
      </c>
      <c r="C1104" s="764" t="s">
        <v>47</v>
      </c>
      <c r="D1104" s="764" t="s">
        <v>21</v>
      </c>
      <c r="E1104" s="735"/>
      <c r="F1104" s="736" t="s">
        <v>319</v>
      </c>
      <c r="G1104" s="828"/>
      <c r="H1104" s="704"/>
      <c r="I1104" s="736" t="s">
        <v>321</v>
      </c>
      <c r="J1104" s="738">
        <f>J1100</f>
        <v>30</v>
      </c>
      <c r="K1104" s="709"/>
      <c r="L1104" s="757"/>
    </row>
    <row r="1105" spans="1:12" hidden="1">
      <c r="A1105" s="689" t="s">
        <v>134</v>
      </c>
      <c r="B1105" s="724" t="s">
        <v>318</v>
      </c>
      <c r="C1105" s="764" t="s">
        <v>49</v>
      </c>
      <c r="D1105" s="764" t="s">
        <v>23</v>
      </c>
      <c r="E1105" s="735"/>
      <c r="F1105" s="736" t="s">
        <v>319</v>
      </c>
      <c r="G1105" s="828"/>
      <c r="H1105" s="704"/>
      <c r="I1105" s="736" t="s">
        <v>321</v>
      </c>
      <c r="J1105" s="738">
        <f>J1101</f>
        <v>35</v>
      </c>
      <c r="K1105" s="709"/>
      <c r="L1105" s="757"/>
    </row>
    <row r="1106" spans="1:12" hidden="1">
      <c r="A1106" s="689" t="s">
        <v>134</v>
      </c>
      <c r="B1106" s="724" t="s">
        <v>318</v>
      </c>
      <c r="C1106" s="734" t="s">
        <v>51</v>
      </c>
      <c r="D1106" s="734" t="s">
        <v>25</v>
      </c>
      <c r="E1106" s="735"/>
      <c r="F1106" s="736" t="s">
        <v>319</v>
      </c>
      <c r="G1106" s="828"/>
      <c r="H1106" s="704"/>
      <c r="I1106" s="736" t="s">
        <v>321</v>
      </c>
      <c r="J1106" s="738">
        <f>J1102</f>
        <v>35</v>
      </c>
      <c r="K1106" s="709"/>
      <c r="L1106" s="757"/>
    </row>
    <row r="1107" spans="1:12" hidden="1">
      <c r="A1107" s="689" t="s">
        <v>134</v>
      </c>
      <c r="B1107" s="722"/>
      <c r="C1107" s="755"/>
      <c r="D1107" s="755"/>
      <c r="E1107" s="692"/>
      <c r="F1107" s="693"/>
      <c r="G1107" s="693"/>
      <c r="H1107" s="695"/>
      <c r="I1107" s="693"/>
      <c r="J1107" s="690"/>
      <c r="K1107" s="709"/>
      <c r="L1107" s="757"/>
    </row>
    <row r="1108" spans="1:12" hidden="1">
      <c r="A1108" s="689" t="s">
        <v>134</v>
      </c>
      <c r="B1108" s="724" t="s">
        <v>318</v>
      </c>
      <c r="C1108" s="764" t="s">
        <v>47</v>
      </c>
      <c r="D1108" s="764" t="s">
        <v>21</v>
      </c>
      <c r="E1108" s="735"/>
      <c r="F1108" s="736" t="s">
        <v>319</v>
      </c>
      <c r="G1108" s="828"/>
      <c r="H1108" s="704"/>
      <c r="I1108" s="736" t="s">
        <v>322</v>
      </c>
      <c r="J1108" s="738">
        <f>J1104</f>
        <v>30</v>
      </c>
      <c r="K1108" s="709"/>
      <c r="L1108" s="757"/>
    </row>
    <row r="1109" spans="1:12" hidden="1">
      <c r="A1109" s="689" t="s">
        <v>134</v>
      </c>
      <c r="B1109" s="724" t="s">
        <v>318</v>
      </c>
      <c r="C1109" s="764" t="s">
        <v>49</v>
      </c>
      <c r="D1109" s="764" t="s">
        <v>23</v>
      </c>
      <c r="E1109" s="735"/>
      <c r="F1109" s="736" t="s">
        <v>319</v>
      </c>
      <c r="G1109" s="828"/>
      <c r="H1109" s="704"/>
      <c r="I1109" s="736" t="s">
        <v>322</v>
      </c>
      <c r="J1109" s="738">
        <f>J1105</f>
        <v>35</v>
      </c>
      <c r="K1109" s="709"/>
      <c r="L1109" s="757"/>
    </row>
    <row r="1110" spans="1:12" hidden="1">
      <c r="A1110" s="689" t="s">
        <v>134</v>
      </c>
      <c r="B1110" s="724" t="s">
        <v>318</v>
      </c>
      <c r="C1110" s="734" t="s">
        <v>51</v>
      </c>
      <c r="D1110" s="734" t="s">
        <v>25</v>
      </c>
      <c r="E1110" s="735"/>
      <c r="F1110" s="736" t="s">
        <v>319</v>
      </c>
      <c r="G1110" s="828"/>
      <c r="H1110" s="704"/>
      <c r="I1110" s="736" t="s">
        <v>322</v>
      </c>
      <c r="J1110" s="738">
        <f>J1106</f>
        <v>35</v>
      </c>
      <c r="K1110" s="709"/>
      <c r="L1110" s="757"/>
    </row>
    <row r="1111" spans="1:12" hidden="1">
      <c r="A1111" s="689" t="s">
        <v>134</v>
      </c>
      <c r="B1111" s="776"/>
      <c r="C1111" s="691"/>
      <c r="D1111" s="691"/>
      <c r="E1111" s="692"/>
      <c r="F1111" s="693"/>
      <c r="G1111" s="693"/>
      <c r="H1111" s="695"/>
      <c r="I1111" s="691"/>
      <c r="J1111" s="690"/>
      <c r="K1111" s="709"/>
      <c r="L1111" s="757"/>
    </row>
    <row r="1112" spans="1:12" hidden="1">
      <c r="A1112" s="689" t="s">
        <v>134</v>
      </c>
      <c r="B1112" s="724" t="s">
        <v>323</v>
      </c>
      <c r="C1112" s="734" t="s">
        <v>57</v>
      </c>
      <c r="D1112" s="846" t="s">
        <v>29</v>
      </c>
      <c r="E1112" s="735"/>
      <c r="F1112" s="736" t="s">
        <v>319</v>
      </c>
      <c r="G1112" s="828"/>
      <c r="H1112" s="704"/>
      <c r="I1112" s="736" t="s">
        <v>324</v>
      </c>
      <c r="J1112" s="738">
        <v>35</v>
      </c>
      <c r="K1112" s="709"/>
      <c r="L1112" s="757"/>
    </row>
    <row r="1113" spans="1:12" hidden="1">
      <c r="A1113" s="689" t="s">
        <v>134</v>
      </c>
      <c r="B1113" s="724" t="s">
        <v>323</v>
      </c>
      <c r="C1113" s="734" t="s">
        <v>59</v>
      </c>
      <c r="D1113" s="844" t="s">
        <v>33</v>
      </c>
      <c r="E1113" s="845" t="s">
        <v>34</v>
      </c>
      <c r="F1113" s="736" t="s">
        <v>319</v>
      </c>
      <c r="G1113" s="828"/>
      <c r="H1113" s="704"/>
      <c r="I1113" s="736" t="s">
        <v>324</v>
      </c>
      <c r="J1113" s="738">
        <v>40</v>
      </c>
      <c r="K1113" s="709"/>
      <c r="L1113" s="757"/>
    </row>
    <row r="1114" spans="1:12" hidden="1">
      <c r="A1114" s="689" t="s">
        <v>134</v>
      </c>
      <c r="B1114" s="724" t="s">
        <v>323</v>
      </c>
      <c r="C1114" s="734" t="s">
        <v>325</v>
      </c>
      <c r="D1114" s="734" t="s">
        <v>326</v>
      </c>
      <c r="E1114" s="735"/>
      <c r="F1114" s="736" t="s">
        <v>319</v>
      </c>
      <c r="G1114" s="828"/>
      <c r="H1114" s="704"/>
      <c r="I1114" s="736" t="s">
        <v>324</v>
      </c>
      <c r="J1114" s="738">
        <v>45</v>
      </c>
      <c r="K1114" s="709"/>
      <c r="L1114" s="757"/>
    </row>
    <row r="1115" spans="1:12" hidden="1">
      <c r="A1115" s="689" t="s">
        <v>134</v>
      </c>
      <c r="B1115" s="776"/>
      <c r="C1115" s="691"/>
      <c r="D1115" s="691"/>
      <c r="E1115" s="692"/>
      <c r="F1115" s="693"/>
      <c r="G1115" s="693"/>
      <c r="H1115" s="695"/>
      <c r="I1115" s="691"/>
      <c r="J1115" s="690"/>
      <c r="K1115" s="709"/>
      <c r="L1115" s="757"/>
    </row>
    <row r="1116" spans="1:12" hidden="1">
      <c r="A1116" s="689" t="s">
        <v>134</v>
      </c>
      <c r="B1116" s="724" t="s">
        <v>323</v>
      </c>
      <c r="C1116" s="734" t="s">
        <v>57</v>
      </c>
      <c r="D1116" s="734" t="s">
        <v>29</v>
      </c>
      <c r="E1116" s="735"/>
      <c r="F1116" s="736" t="s">
        <v>319</v>
      </c>
      <c r="G1116" s="828"/>
      <c r="H1116" s="704"/>
      <c r="I1116" s="736" t="s">
        <v>327</v>
      </c>
      <c r="J1116" s="738">
        <f>J1112</f>
        <v>35</v>
      </c>
      <c r="K1116" s="709"/>
      <c r="L1116" s="757"/>
    </row>
    <row r="1117" spans="1:12" hidden="1">
      <c r="A1117" s="689" t="s">
        <v>134</v>
      </c>
      <c r="B1117" s="724" t="s">
        <v>323</v>
      </c>
      <c r="C1117" s="734" t="s">
        <v>59</v>
      </c>
      <c r="D1117" s="844" t="s">
        <v>33</v>
      </c>
      <c r="E1117" s="845" t="s">
        <v>34</v>
      </c>
      <c r="F1117" s="736" t="s">
        <v>319</v>
      </c>
      <c r="G1117" s="828"/>
      <c r="H1117" s="704"/>
      <c r="I1117" s="736" t="s">
        <v>327</v>
      </c>
      <c r="J1117" s="738">
        <f>J1113</f>
        <v>40</v>
      </c>
      <c r="K1117" s="709"/>
      <c r="L1117" s="757"/>
    </row>
    <row r="1118" spans="1:12" hidden="1">
      <c r="A1118" s="689" t="s">
        <v>134</v>
      </c>
      <c r="B1118" s="724" t="s">
        <v>323</v>
      </c>
      <c r="C1118" s="734" t="s">
        <v>325</v>
      </c>
      <c r="D1118" s="734" t="s">
        <v>326</v>
      </c>
      <c r="E1118" s="735"/>
      <c r="F1118" s="736" t="s">
        <v>319</v>
      </c>
      <c r="G1118" s="828"/>
      <c r="H1118" s="704"/>
      <c r="I1118" s="736" t="s">
        <v>327</v>
      </c>
      <c r="J1118" s="738">
        <f>J1114</f>
        <v>45</v>
      </c>
      <c r="K1118" s="709"/>
      <c r="L1118" s="757"/>
    </row>
    <row r="1119" spans="1:12" hidden="1">
      <c r="A1119" s="689" t="s">
        <v>134</v>
      </c>
      <c r="B1119" s="691"/>
      <c r="C1119" s="691"/>
      <c r="D1119" s="691"/>
      <c r="E1119" s="692"/>
      <c r="F1119" s="693"/>
      <c r="G1119" s="693"/>
      <c r="H1119" s="695"/>
      <c r="I1119" s="691"/>
      <c r="J1119" s="690"/>
      <c r="K1119" s="709"/>
      <c r="L1119" s="757"/>
    </row>
    <row r="1120" spans="1:12" hidden="1">
      <c r="A1120" s="689" t="s">
        <v>143</v>
      </c>
      <c r="B1120" s="769" t="s">
        <v>328</v>
      </c>
      <c r="C1120" s="705"/>
      <c r="D1120" s="705"/>
      <c r="E1120" s="735"/>
      <c r="F1120" s="736" t="s">
        <v>319</v>
      </c>
      <c r="G1120" s="828"/>
      <c r="H1120" s="704"/>
      <c r="I1120" s="777" t="s">
        <v>329</v>
      </c>
      <c r="J1120" s="738">
        <v>125</v>
      </c>
      <c r="K1120" s="709"/>
      <c r="L1120" s="757"/>
    </row>
    <row r="1121" spans="1:12" hidden="1">
      <c r="A1121" s="689" t="s">
        <v>143</v>
      </c>
      <c r="B1121" s="769" t="s">
        <v>328</v>
      </c>
      <c r="C1121" s="705"/>
      <c r="D1121" s="705"/>
      <c r="E1121" s="735"/>
      <c r="F1121" s="736" t="s">
        <v>319</v>
      </c>
      <c r="G1121" s="828"/>
      <c r="H1121" s="704"/>
      <c r="I1121" s="777" t="s">
        <v>330</v>
      </c>
      <c r="J1121" s="738">
        <v>250</v>
      </c>
      <c r="K1121" s="709"/>
      <c r="L1121" s="757"/>
    </row>
    <row r="1122" spans="1:12" hidden="1">
      <c r="A1122" s="689" t="s">
        <v>143</v>
      </c>
      <c r="B1122" s="769" t="s">
        <v>328</v>
      </c>
      <c r="C1122" s="705"/>
      <c r="D1122" s="705"/>
      <c r="E1122" s="735"/>
      <c r="F1122" s="736" t="s">
        <v>319</v>
      </c>
      <c r="G1122" s="828"/>
      <c r="H1122" s="704"/>
      <c r="I1122" s="777" t="s">
        <v>331</v>
      </c>
      <c r="J1122" s="738">
        <v>325</v>
      </c>
      <c r="K1122" s="709"/>
      <c r="L1122" s="757"/>
    </row>
    <row r="1123" spans="1:12" hidden="1">
      <c r="A1123" s="689"/>
      <c r="B1123" s="778"/>
      <c r="C1123" s="691"/>
      <c r="D1123" s="691"/>
      <c r="E1123" s="692"/>
      <c r="F1123" s="693"/>
      <c r="G1123" s="693"/>
      <c r="H1123" s="695"/>
      <c r="I1123" s="691"/>
      <c r="J1123" s="690"/>
      <c r="K1123" s="709"/>
      <c r="L1123" s="757"/>
    </row>
    <row r="1124" spans="1:12" hidden="1">
      <c r="A1124" s="689" t="s">
        <v>134</v>
      </c>
      <c r="B1124" s="769" t="s">
        <v>332</v>
      </c>
      <c r="C1124" s="705"/>
      <c r="D1124" s="705"/>
      <c r="E1124" s="735"/>
      <c r="F1124" s="736" t="s">
        <v>319</v>
      </c>
      <c r="G1124" s="828"/>
      <c r="H1124" s="704"/>
      <c r="I1124" s="777" t="s">
        <v>333</v>
      </c>
      <c r="J1124" s="738">
        <v>200</v>
      </c>
      <c r="K1124" s="709"/>
      <c r="L1124" s="757"/>
    </row>
    <row r="1125" spans="1:12" hidden="1">
      <c r="A1125" s="689" t="s">
        <v>134</v>
      </c>
      <c r="B1125" s="769" t="s">
        <v>332</v>
      </c>
      <c r="C1125" s="705"/>
      <c r="D1125" s="705"/>
      <c r="E1125" s="735"/>
      <c r="F1125" s="736" t="s">
        <v>319</v>
      </c>
      <c r="G1125" s="828"/>
      <c r="H1125" s="704"/>
      <c r="I1125" s="777" t="s">
        <v>334</v>
      </c>
      <c r="J1125" s="738">
        <v>250</v>
      </c>
      <c r="K1125" s="709"/>
      <c r="L1125" s="757"/>
    </row>
    <row r="1126" spans="1:12" hidden="1">
      <c r="A1126" s="689" t="s">
        <v>134</v>
      </c>
      <c r="B1126" s="769" t="s">
        <v>332</v>
      </c>
      <c r="C1126" s="705"/>
      <c r="D1126" s="705"/>
      <c r="E1126" s="735"/>
      <c r="F1126" s="736" t="s">
        <v>319</v>
      </c>
      <c r="G1126" s="828"/>
      <c r="H1126" s="704"/>
      <c r="I1126" s="777" t="s">
        <v>335</v>
      </c>
      <c r="J1126" s="738">
        <v>400</v>
      </c>
      <c r="K1126" s="709"/>
      <c r="L1126" s="757"/>
    </row>
    <row r="1127" spans="1:12" hidden="1">
      <c r="A1127" s="689" t="s">
        <v>134</v>
      </c>
      <c r="B1127" s="691"/>
      <c r="C1127" s="691"/>
      <c r="D1127" s="691"/>
      <c r="E1127" s="692"/>
      <c r="F1127" s="693"/>
      <c r="G1127" s="693"/>
      <c r="H1127" s="695"/>
      <c r="I1127" s="691"/>
      <c r="J1127" s="690"/>
      <c r="K1127" s="709"/>
      <c r="L1127" s="757"/>
    </row>
    <row r="1128" spans="1:12" hidden="1">
      <c r="A1128" s="689" t="s">
        <v>134</v>
      </c>
      <c r="B1128" s="769" t="s">
        <v>336</v>
      </c>
      <c r="C1128" s="705"/>
      <c r="D1128" s="705"/>
      <c r="E1128" s="735"/>
      <c r="F1128" s="736" t="s">
        <v>319</v>
      </c>
      <c r="G1128" s="828"/>
      <c r="H1128" s="704"/>
      <c r="I1128" s="705"/>
      <c r="J1128" s="738">
        <v>200</v>
      </c>
      <c r="K1128" s="709"/>
      <c r="L1128" s="757"/>
    </row>
    <row r="1129" spans="1:12" hidden="1">
      <c r="A1129" s="689" t="s">
        <v>134</v>
      </c>
      <c r="B1129" s="769" t="s">
        <v>337</v>
      </c>
      <c r="C1129" s="705"/>
      <c r="D1129" s="705"/>
      <c r="E1129" s="735"/>
      <c r="F1129" s="736" t="s">
        <v>319</v>
      </c>
      <c r="G1129" s="828"/>
      <c r="H1129" s="704"/>
      <c r="I1129" s="705"/>
      <c r="J1129" s="738">
        <v>300</v>
      </c>
      <c r="K1129" s="709"/>
      <c r="L1129" s="757"/>
    </row>
    <row r="1130" spans="1:12" hidden="1">
      <c r="A1130" s="689" t="s">
        <v>134</v>
      </c>
      <c r="B1130" s="769" t="s">
        <v>338</v>
      </c>
      <c r="C1130" s="705"/>
      <c r="D1130" s="705"/>
      <c r="E1130" s="735"/>
      <c r="F1130" s="736" t="s">
        <v>19</v>
      </c>
      <c r="G1130" s="727"/>
      <c r="H1130" s="704"/>
      <c r="I1130" s="705"/>
      <c r="J1130" s="738">
        <v>350</v>
      </c>
      <c r="K1130" s="709"/>
      <c r="L1130" s="757"/>
    </row>
    <row r="1131" spans="1:12" hidden="1">
      <c r="A1131" s="689" t="s">
        <v>134</v>
      </c>
      <c r="B1131" s="769" t="s">
        <v>339</v>
      </c>
      <c r="C1131" s="705"/>
      <c r="D1131" s="705"/>
      <c r="E1131" s="735"/>
      <c r="F1131" s="736" t="s">
        <v>319</v>
      </c>
      <c r="G1131" s="727"/>
      <c r="H1131" s="704"/>
      <c r="I1131" s="705"/>
      <c r="J1131" s="738">
        <v>200</v>
      </c>
      <c r="K1131" s="709"/>
      <c r="L1131" s="757"/>
    </row>
    <row r="1132" spans="1:12" hidden="1">
      <c r="A1132" s="689"/>
      <c r="B1132" s="691"/>
      <c r="C1132" s="691"/>
      <c r="D1132" s="691"/>
      <c r="E1132" s="692"/>
      <c r="F1132" s="693"/>
      <c r="G1132" s="723"/>
      <c r="H1132" s="695"/>
      <c r="I1132" s="691"/>
      <c r="J1132" s="690"/>
      <c r="K1132" s="709"/>
      <c r="L1132" s="757"/>
    </row>
    <row r="1133" spans="1:12" hidden="1">
      <c r="A1133" s="689" t="s">
        <v>340</v>
      </c>
      <c r="B1133" s="699" t="s">
        <v>341</v>
      </c>
      <c r="C1133" s="705"/>
      <c r="D1133" s="705"/>
      <c r="E1133" s="735"/>
      <c r="F1133" s="736" t="s">
        <v>319</v>
      </c>
      <c r="G1133" s="727">
        <f>'rura PVC, PP-HT'!E2</f>
        <v>170</v>
      </c>
      <c r="H1133" s="704"/>
      <c r="I1133" s="705"/>
      <c r="J1133" s="738">
        <v>70</v>
      </c>
      <c r="K1133" s="709"/>
      <c r="L1133" s="757"/>
    </row>
    <row r="1134" spans="1:12" hidden="1">
      <c r="A1134" s="689" t="s">
        <v>340</v>
      </c>
      <c r="B1134" s="699" t="s">
        <v>342</v>
      </c>
      <c r="C1134" s="705">
        <v>50</v>
      </c>
      <c r="D1134" s="705">
        <v>50</v>
      </c>
      <c r="E1134" s="735"/>
      <c r="F1134" s="736" t="s">
        <v>319</v>
      </c>
      <c r="G1134" s="727">
        <f>'rura PVC, PP-HT'!E3</f>
        <v>250.488</v>
      </c>
      <c r="H1134" s="704"/>
      <c r="I1134" s="705"/>
      <c r="J1134" s="738">
        <v>70</v>
      </c>
      <c r="K1134" s="709"/>
      <c r="L1134" s="757"/>
    </row>
    <row r="1135" spans="1:12" hidden="1">
      <c r="A1135" s="689" t="s">
        <v>340</v>
      </c>
      <c r="B1135" s="699" t="s">
        <v>342</v>
      </c>
      <c r="C1135" s="705" t="s">
        <v>343</v>
      </c>
      <c r="D1135" s="779" t="s">
        <v>344</v>
      </c>
      <c r="E1135" s="735"/>
      <c r="F1135" s="736" t="s">
        <v>319</v>
      </c>
      <c r="G1135" s="727">
        <f>'rura PVC, PP-HT'!E4</f>
        <v>397.94400000000002</v>
      </c>
      <c r="H1135" s="704"/>
      <c r="I1135" s="705"/>
      <c r="J1135" s="738">
        <f>J1134</f>
        <v>70</v>
      </c>
      <c r="K1135" s="709"/>
      <c r="L1135" s="757"/>
    </row>
    <row r="1136" spans="1:12" hidden="1">
      <c r="A1136" s="689" t="s">
        <v>340</v>
      </c>
      <c r="B1136" s="699" t="s">
        <v>345</v>
      </c>
      <c r="C1136" s="705" t="s">
        <v>57</v>
      </c>
      <c r="D1136" s="705">
        <v>50</v>
      </c>
      <c r="E1136" s="735"/>
      <c r="F1136" s="736" t="s">
        <v>319</v>
      </c>
      <c r="G1136" s="727">
        <f>'rura PVC, PP-HT'!E5</f>
        <v>25.993500000000001</v>
      </c>
      <c r="H1136" s="704" t="s">
        <v>42</v>
      </c>
      <c r="I1136" s="736" t="s">
        <v>346</v>
      </c>
      <c r="J1136" s="738">
        <v>25</v>
      </c>
      <c r="K1136" s="709"/>
      <c r="L1136" s="757"/>
    </row>
    <row r="1137" spans="1:12" hidden="1">
      <c r="A1137" s="689" t="s">
        <v>340</v>
      </c>
      <c r="B1137" s="699" t="s">
        <v>345</v>
      </c>
      <c r="C1137" s="705" t="s">
        <v>347</v>
      </c>
      <c r="D1137" s="705">
        <v>75</v>
      </c>
      <c r="E1137" s="735"/>
      <c r="F1137" s="736" t="s">
        <v>319</v>
      </c>
      <c r="G1137" s="727">
        <f>'rura PVC, PP-HT'!E6</f>
        <v>29.744</v>
      </c>
      <c r="H1137" s="704" t="s">
        <v>42</v>
      </c>
      <c r="I1137" s="736" t="s">
        <v>346</v>
      </c>
      <c r="J1137" s="738">
        <f>J1136</f>
        <v>25</v>
      </c>
      <c r="K1137" s="709"/>
      <c r="L1137" s="757"/>
    </row>
    <row r="1138" spans="1:12" hidden="1">
      <c r="A1138" s="689" t="s">
        <v>340</v>
      </c>
      <c r="B1138" s="699" t="s">
        <v>345</v>
      </c>
      <c r="C1138" s="705" t="s">
        <v>62</v>
      </c>
      <c r="D1138" s="844" t="s">
        <v>37</v>
      </c>
      <c r="E1138" s="735">
        <v>4</v>
      </c>
      <c r="F1138" s="736" t="s">
        <v>319</v>
      </c>
      <c r="G1138" s="727">
        <f>'rura PVC, PP-HT'!E7</f>
        <v>43.783999999999999</v>
      </c>
      <c r="H1138" s="704" t="s">
        <v>42</v>
      </c>
      <c r="I1138" s="736" t="s">
        <v>346</v>
      </c>
      <c r="J1138" s="738">
        <f>J1137</f>
        <v>25</v>
      </c>
      <c r="K1138" s="709"/>
      <c r="L1138" s="757"/>
    </row>
    <row r="1139" spans="1:12" hidden="1">
      <c r="A1139" s="689" t="s">
        <v>340</v>
      </c>
      <c r="B1139" s="699" t="s">
        <v>345</v>
      </c>
      <c r="C1139" s="705" t="s">
        <v>66</v>
      </c>
      <c r="D1139" s="705">
        <v>160</v>
      </c>
      <c r="E1139" s="735"/>
      <c r="F1139" s="736" t="s">
        <v>319</v>
      </c>
      <c r="G1139" s="727">
        <f>'rura PVC, PP-HT'!E8</f>
        <v>57.977999999999994</v>
      </c>
      <c r="H1139" s="704" t="s">
        <v>42</v>
      </c>
      <c r="I1139" s="736" t="s">
        <v>346</v>
      </c>
      <c r="J1139" s="738">
        <f>J1138</f>
        <v>25</v>
      </c>
      <c r="K1139" s="709"/>
      <c r="L1139" s="757"/>
    </row>
    <row r="1140" spans="1:12" hidden="1">
      <c r="A1140" s="689" t="s">
        <v>340</v>
      </c>
      <c r="B1140" s="691"/>
      <c r="C1140" s="691"/>
      <c r="D1140" s="691"/>
      <c r="E1140" s="692"/>
      <c r="F1140" s="693"/>
      <c r="G1140" s="723"/>
      <c r="H1140" s="695"/>
      <c r="I1140" s="691"/>
      <c r="J1140" s="690"/>
      <c r="K1140" s="709"/>
      <c r="L1140" s="757"/>
    </row>
    <row r="1141" spans="1:12" hidden="1">
      <c r="A1141" s="689" t="s">
        <v>340</v>
      </c>
      <c r="B1141" s="699" t="s">
        <v>345</v>
      </c>
      <c r="C1141" s="705"/>
      <c r="D1141" s="705">
        <v>50</v>
      </c>
      <c r="E1141" s="735"/>
      <c r="F1141" s="736" t="s">
        <v>319</v>
      </c>
      <c r="G1141" s="727">
        <f>'rura PVC, PP-HT'!E10</f>
        <v>12.756</v>
      </c>
      <c r="H1141" s="704" t="s">
        <v>348</v>
      </c>
      <c r="I1141" s="736" t="s">
        <v>346</v>
      </c>
      <c r="J1141" s="738">
        <f>J1139</f>
        <v>25</v>
      </c>
      <c r="K1141" s="709"/>
      <c r="L1141" s="757"/>
    </row>
    <row r="1142" spans="1:12" hidden="1">
      <c r="A1142" s="689" t="s">
        <v>340</v>
      </c>
      <c r="B1142" s="699" t="s">
        <v>345</v>
      </c>
      <c r="C1142" s="705"/>
      <c r="D1142" s="705" t="s">
        <v>349</v>
      </c>
      <c r="E1142" s="735"/>
      <c r="F1142" s="736" t="s">
        <v>319</v>
      </c>
      <c r="G1142" s="727">
        <f>'rura PVC, PP-HT'!E11</f>
        <v>13.842000000000001</v>
      </c>
      <c r="H1142" s="704" t="s">
        <v>348</v>
      </c>
      <c r="I1142" s="736" t="s">
        <v>346</v>
      </c>
      <c r="J1142" s="738">
        <f>J1141</f>
        <v>25</v>
      </c>
      <c r="K1142" s="709"/>
      <c r="L1142" s="757"/>
    </row>
    <row r="1143" spans="1:12" hidden="1">
      <c r="A1143" s="689" t="s">
        <v>340</v>
      </c>
      <c r="B1143" s="699" t="s">
        <v>345</v>
      </c>
      <c r="C1143" s="705"/>
      <c r="D1143" s="705" t="s">
        <v>350</v>
      </c>
      <c r="E1143" s="735"/>
      <c r="F1143" s="736" t="s">
        <v>319</v>
      </c>
      <c r="G1143" s="727">
        <f>'rura PVC, PP-HT'!E12</f>
        <v>16.847999999999999</v>
      </c>
      <c r="H1143" s="704" t="s">
        <v>348</v>
      </c>
      <c r="I1143" s="736" t="s">
        <v>346</v>
      </c>
      <c r="J1143" s="738">
        <f>J1142</f>
        <v>25</v>
      </c>
      <c r="K1143" s="709"/>
      <c r="L1143" s="757"/>
    </row>
    <row r="1144" spans="1:12" hidden="1">
      <c r="A1144" s="689" t="s">
        <v>340</v>
      </c>
      <c r="B1144" s="699" t="s">
        <v>345</v>
      </c>
      <c r="C1144" s="705"/>
      <c r="D1144" s="705">
        <v>125</v>
      </c>
      <c r="E1144" s="735"/>
      <c r="F1144" s="736" t="s">
        <v>319</v>
      </c>
      <c r="G1144" s="727">
        <f>'rura PVC, PP-HT'!E13</f>
        <v>45.66</v>
      </c>
      <c r="H1144" s="704" t="s">
        <v>348</v>
      </c>
      <c r="I1144" s="736" t="s">
        <v>346</v>
      </c>
      <c r="J1144" s="738">
        <f>J1143</f>
        <v>25</v>
      </c>
      <c r="K1144" s="709"/>
      <c r="L1144" s="757"/>
    </row>
    <row r="1145" spans="1:12" hidden="1">
      <c r="A1145" s="689" t="s">
        <v>340</v>
      </c>
      <c r="B1145" s="699" t="s">
        <v>345</v>
      </c>
      <c r="C1145" s="705"/>
      <c r="D1145" s="705">
        <v>160</v>
      </c>
      <c r="E1145" s="735"/>
      <c r="F1145" s="736" t="s">
        <v>319</v>
      </c>
      <c r="G1145" s="727">
        <f>'rura PVC, PP-HT'!E14</f>
        <v>77.28</v>
      </c>
      <c r="H1145" s="704" t="s">
        <v>348</v>
      </c>
      <c r="I1145" s="736" t="s">
        <v>346</v>
      </c>
      <c r="J1145" s="738">
        <f>J1144</f>
        <v>25</v>
      </c>
      <c r="K1145" s="709"/>
      <c r="L1145" s="757"/>
    </row>
    <row r="1146" spans="1:12" hidden="1">
      <c r="A1146" s="689" t="s">
        <v>340</v>
      </c>
      <c r="B1146" s="691"/>
      <c r="C1146" s="691"/>
      <c r="D1146" s="691"/>
      <c r="E1146" s="692"/>
      <c r="F1146" s="693"/>
      <c r="G1146" s="723"/>
      <c r="H1146" s="695"/>
      <c r="I1146" s="691"/>
      <c r="J1146" s="690"/>
      <c r="K1146" s="709"/>
      <c r="L1146" s="757"/>
    </row>
    <row r="1147" spans="1:12" hidden="1">
      <c r="A1147" s="689" t="s">
        <v>340</v>
      </c>
      <c r="B1147" s="724" t="s">
        <v>351</v>
      </c>
      <c r="C1147" s="734"/>
      <c r="D1147" s="734" t="s">
        <v>27</v>
      </c>
      <c r="E1147" s="735"/>
      <c r="F1147" s="736" t="s">
        <v>19</v>
      </c>
      <c r="G1147" s="828">
        <f>ROUND('rura PVC, PP-HT'!L74,2)</f>
        <v>31.85</v>
      </c>
      <c r="H1147" s="704" t="s">
        <v>42</v>
      </c>
      <c r="I1147" s="705"/>
      <c r="J1147" s="738">
        <v>27</v>
      </c>
      <c r="K1147" s="709"/>
      <c r="L1147" s="757"/>
    </row>
    <row r="1148" spans="1:12" hidden="1">
      <c r="A1148" s="689" t="s">
        <v>340</v>
      </c>
      <c r="B1148" s="724" t="s">
        <v>351</v>
      </c>
      <c r="C1148" s="734"/>
      <c r="D1148" s="734" t="s">
        <v>352</v>
      </c>
      <c r="E1148" s="735"/>
      <c r="F1148" s="736" t="s">
        <v>19</v>
      </c>
      <c r="G1148" s="828">
        <f>ROUND('rura PVC, PP-HT'!L75,2)</f>
        <v>25.46</v>
      </c>
      <c r="H1148" s="704" t="s">
        <v>42</v>
      </c>
      <c r="I1148" s="705"/>
      <c r="J1148" s="738">
        <v>32</v>
      </c>
      <c r="K1148" s="709"/>
      <c r="L1148" s="757"/>
    </row>
    <row r="1149" spans="1:12" hidden="1">
      <c r="A1149" s="689" t="s">
        <v>340</v>
      </c>
      <c r="B1149" s="724" t="s">
        <v>351</v>
      </c>
      <c r="C1149" s="700"/>
      <c r="D1149" s="734" t="s">
        <v>353</v>
      </c>
      <c r="E1149" s="735"/>
      <c r="F1149" s="736" t="s">
        <v>19</v>
      </c>
      <c r="G1149" s="828">
        <f>ROUND('rura PVC, PP-HT'!L76,2)</f>
        <v>40.99</v>
      </c>
      <c r="H1149" s="704" t="s">
        <v>42</v>
      </c>
      <c r="I1149" s="705"/>
      <c r="J1149" s="738">
        <v>36</v>
      </c>
      <c r="K1149" s="709"/>
      <c r="L1149" s="757"/>
    </row>
    <row r="1150" spans="1:12" ht="20.25" hidden="1">
      <c r="A1150" s="689" t="s">
        <v>340</v>
      </c>
      <c r="B1150" s="724" t="s">
        <v>351</v>
      </c>
      <c r="C1150" s="700"/>
      <c r="D1150" s="844" t="s">
        <v>354</v>
      </c>
      <c r="E1150" s="735">
        <v>4</v>
      </c>
      <c r="F1150" s="736" t="s">
        <v>19</v>
      </c>
      <c r="G1150" s="828">
        <f>ROUND('rura PVC, PP-HT'!L77,2)</f>
        <v>60.17</v>
      </c>
      <c r="H1150" s="704" t="s">
        <v>42</v>
      </c>
      <c r="I1150" s="705"/>
      <c r="J1150" s="738">
        <v>40</v>
      </c>
      <c r="K1150" s="709"/>
      <c r="L1150" s="757"/>
    </row>
    <row r="1151" spans="1:12" hidden="1">
      <c r="A1151" s="689" t="s">
        <v>340</v>
      </c>
      <c r="B1151" s="722"/>
      <c r="C1151" s="780"/>
      <c r="D1151" s="755"/>
      <c r="E1151" s="692"/>
      <c r="F1151" s="693"/>
      <c r="G1151" s="723"/>
      <c r="H1151" s="695"/>
      <c r="I1151" s="691"/>
      <c r="J1151" s="690"/>
      <c r="K1151" s="709"/>
      <c r="L1151" s="757"/>
    </row>
    <row r="1152" spans="1:12" hidden="1">
      <c r="A1152" s="689" t="s">
        <v>340</v>
      </c>
      <c r="B1152" s="724" t="s">
        <v>355</v>
      </c>
      <c r="C1152" s="734" t="s">
        <v>57</v>
      </c>
      <c r="D1152" s="734" t="s">
        <v>352</v>
      </c>
      <c r="E1152" s="735"/>
      <c r="F1152" s="736" t="s">
        <v>19</v>
      </c>
      <c r="G1152" s="828">
        <f>ROUND('rura PVC, PP-HT'!L110,2)</f>
        <v>55.43</v>
      </c>
      <c r="H1152" s="704" t="s">
        <v>42</v>
      </c>
      <c r="I1152" s="705" t="s">
        <v>356</v>
      </c>
      <c r="J1152" s="738">
        <v>32</v>
      </c>
      <c r="K1152" s="709"/>
      <c r="L1152" s="757"/>
    </row>
    <row r="1153" spans="1:12" hidden="1">
      <c r="A1153" s="689" t="s">
        <v>340</v>
      </c>
      <c r="B1153" s="724" t="s">
        <v>355</v>
      </c>
      <c r="C1153" s="700" t="s">
        <v>347</v>
      </c>
      <c r="D1153" s="734" t="s">
        <v>357</v>
      </c>
      <c r="E1153" s="735"/>
      <c r="F1153" s="736" t="s">
        <v>19</v>
      </c>
      <c r="G1153" s="828">
        <f>ROUND('rura PVC, PP-HT'!L111,2)</f>
        <v>74.63</v>
      </c>
      <c r="H1153" s="704" t="s">
        <v>42</v>
      </c>
      <c r="I1153" s="705" t="s">
        <v>356</v>
      </c>
      <c r="J1153" s="738">
        <v>36</v>
      </c>
      <c r="K1153" s="709"/>
      <c r="L1153" s="757"/>
    </row>
    <row r="1154" spans="1:12" hidden="1">
      <c r="A1154" s="689" t="s">
        <v>340</v>
      </c>
      <c r="B1154" s="724" t="s">
        <v>355</v>
      </c>
      <c r="C1154" s="700" t="s">
        <v>60</v>
      </c>
      <c r="D1154" s="844" t="s">
        <v>35</v>
      </c>
      <c r="E1154" s="735"/>
      <c r="F1154" s="736" t="s">
        <v>19</v>
      </c>
      <c r="G1154" s="828">
        <f>ROUND('rura PVC, PP-HT'!L112,2)</f>
        <v>106.69</v>
      </c>
      <c r="H1154" s="704" t="s">
        <v>42</v>
      </c>
      <c r="I1154" s="705" t="s">
        <v>356</v>
      </c>
      <c r="J1154" s="738">
        <v>40</v>
      </c>
      <c r="K1154" s="709"/>
      <c r="L1154" s="757"/>
    </row>
    <row r="1155" spans="1:12" hidden="1">
      <c r="A1155" s="689" t="s">
        <v>340</v>
      </c>
      <c r="B1155" s="724" t="s">
        <v>355</v>
      </c>
      <c r="C1155" s="700" t="s">
        <v>62</v>
      </c>
      <c r="D1155" s="844" t="s">
        <v>37</v>
      </c>
      <c r="E1155" s="735">
        <v>4</v>
      </c>
      <c r="F1155" s="736" t="s">
        <v>19</v>
      </c>
      <c r="G1155" s="828">
        <f>ROUND('rura PVC, PP-HT'!L113,2)</f>
        <v>110.21</v>
      </c>
      <c r="H1155" s="704" t="s">
        <v>42</v>
      </c>
      <c r="I1155" s="705" t="s">
        <v>356</v>
      </c>
      <c r="J1155" s="738">
        <v>45</v>
      </c>
      <c r="K1155" s="709"/>
      <c r="L1155" s="757"/>
    </row>
    <row r="1156" spans="1:12" hidden="1">
      <c r="A1156" s="689" t="s">
        <v>340</v>
      </c>
      <c r="B1156" s="724" t="s">
        <v>355</v>
      </c>
      <c r="C1156" s="700" t="s">
        <v>63</v>
      </c>
      <c r="D1156" s="734" t="s">
        <v>358</v>
      </c>
      <c r="E1156" s="735"/>
      <c r="F1156" s="736" t="s">
        <v>19</v>
      </c>
      <c r="G1156" s="828">
        <f>ROUND('rura PVC, PP-HT'!L114,2)</f>
        <v>164.11</v>
      </c>
      <c r="H1156" s="704" t="s">
        <v>42</v>
      </c>
      <c r="I1156" s="705" t="s">
        <v>356</v>
      </c>
      <c r="J1156" s="738">
        <v>49</v>
      </c>
      <c r="K1156" s="709"/>
      <c r="L1156" s="757"/>
    </row>
    <row r="1157" spans="1:12" hidden="1">
      <c r="A1157" s="689" t="s">
        <v>340</v>
      </c>
      <c r="B1157" s="724" t="s">
        <v>355</v>
      </c>
      <c r="C1157" s="700" t="s">
        <v>66</v>
      </c>
      <c r="D1157" s="734" t="s">
        <v>120</v>
      </c>
      <c r="E1157" s="735"/>
      <c r="F1157" s="736" t="s">
        <v>19</v>
      </c>
      <c r="G1157" s="828">
        <f>ROUND('rura PVC, PP-HT'!L115,2)</f>
        <v>257.16000000000003</v>
      </c>
      <c r="H1157" s="704" t="s">
        <v>42</v>
      </c>
      <c r="I1157" s="705" t="s">
        <v>356</v>
      </c>
      <c r="J1157" s="738">
        <v>54</v>
      </c>
      <c r="K1157" s="709"/>
      <c r="L1157" s="757"/>
    </row>
    <row r="1158" spans="1:12" hidden="1">
      <c r="A1158" s="689" t="s">
        <v>340</v>
      </c>
      <c r="B1158" s="724" t="s">
        <v>355</v>
      </c>
      <c r="C1158" s="700" t="s">
        <v>121</v>
      </c>
      <c r="D1158" s="734" t="s">
        <v>154</v>
      </c>
      <c r="E1158" s="735"/>
      <c r="F1158" s="736" t="s">
        <v>19</v>
      </c>
      <c r="G1158" s="828">
        <f>ROUND('rura PVC, PP-HT'!L116,2)</f>
        <v>333.49</v>
      </c>
      <c r="H1158" s="704" t="s">
        <v>42</v>
      </c>
      <c r="I1158" s="705" t="s">
        <v>356</v>
      </c>
      <c r="J1158" s="738">
        <v>72</v>
      </c>
      <c r="K1158" s="709"/>
      <c r="L1158" s="757"/>
    </row>
    <row r="1159" spans="1:12" hidden="1">
      <c r="A1159" s="689" t="s">
        <v>340</v>
      </c>
      <c r="B1159" s="722"/>
      <c r="C1159" s="780"/>
      <c r="D1159" s="755"/>
      <c r="E1159" s="692"/>
      <c r="F1159" s="693"/>
      <c r="G1159" s="829"/>
      <c r="H1159" s="695"/>
      <c r="I1159" s="691"/>
      <c r="J1159" s="690"/>
      <c r="K1159" s="709"/>
      <c r="L1159" s="757"/>
    </row>
    <row r="1160" spans="1:12" hidden="1">
      <c r="A1160" s="689" t="s">
        <v>340</v>
      </c>
      <c r="B1160" s="724" t="s">
        <v>355</v>
      </c>
      <c r="C1160" s="734" t="s">
        <v>55</v>
      </c>
      <c r="D1160" s="734" t="s">
        <v>27</v>
      </c>
      <c r="E1160" s="735"/>
      <c r="F1160" s="736" t="s">
        <v>19</v>
      </c>
      <c r="G1160" s="828">
        <f>ROUND('rura PVC, PP-HT'!L101,2)</f>
        <v>21.91</v>
      </c>
      <c r="H1160" s="704" t="s">
        <v>42</v>
      </c>
      <c r="I1160" s="705" t="s">
        <v>359</v>
      </c>
      <c r="J1160" s="738">
        <v>27</v>
      </c>
      <c r="K1160" s="709"/>
      <c r="L1160" s="757"/>
    </row>
    <row r="1161" spans="1:12" hidden="1">
      <c r="A1161" s="689" t="s">
        <v>340</v>
      </c>
      <c r="B1161" s="724" t="s">
        <v>355</v>
      </c>
      <c r="C1161" s="734" t="s">
        <v>57</v>
      </c>
      <c r="D1161" s="734" t="s">
        <v>352</v>
      </c>
      <c r="E1161" s="735"/>
      <c r="F1161" s="736" t="s">
        <v>19</v>
      </c>
      <c r="G1161" s="828">
        <f>ROUND('rura PVC, PP-HT'!L102,2)</f>
        <v>24.74</v>
      </c>
      <c r="H1161" s="704" t="s">
        <v>42</v>
      </c>
      <c r="I1161" s="705" t="s">
        <v>359</v>
      </c>
      <c r="J1161" s="738">
        <v>32</v>
      </c>
      <c r="K1161" s="709"/>
      <c r="L1161" s="757"/>
    </row>
    <row r="1162" spans="1:12" hidden="1">
      <c r="A1162" s="689" t="s">
        <v>340</v>
      </c>
      <c r="B1162" s="724" t="s">
        <v>355</v>
      </c>
      <c r="C1162" s="700" t="s">
        <v>347</v>
      </c>
      <c r="D1162" s="734" t="s">
        <v>357</v>
      </c>
      <c r="E1162" s="735"/>
      <c r="F1162" s="736" t="s">
        <v>19</v>
      </c>
      <c r="G1162" s="828">
        <f>ROUND('rura PVC, PP-HT'!L103,2)</f>
        <v>39.22</v>
      </c>
      <c r="H1162" s="704" t="s">
        <v>42</v>
      </c>
      <c r="I1162" s="705" t="s">
        <v>359</v>
      </c>
      <c r="J1162" s="738">
        <v>36</v>
      </c>
      <c r="K1162" s="709"/>
      <c r="L1162" s="757"/>
    </row>
    <row r="1163" spans="1:12" hidden="1">
      <c r="A1163" s="689" t="s">
        <v>340</v>
      </c>
      <c r="B1163" s="724" t="s">
        <v>355</v>
      </c>
      <c r="C1163" s="700" t="s">
        <v>62</v>
      </c>
      <c r="D1163" s="844" t="s">
        <v>37</v>
      </c>
      <c r="E1163" s="735">
        <v>4</v>
      </c>
      <c r="F1163" s="736" t="s">
        <v>19</v>
      </c>
      <c r="G1163" s="828">
        <f>ROUND('rura PVC, PP-HT'!L104,2)</f>
        <v>64.62</v>
      </c>
      <c r="H1163" s="704" t="s">
        <v>42</v>
      </c>
      <c r="I1163" s="705" t="s">
        <v>359</v>
      </c>
      <c r="J1163" s="738">
        <v>40</v>
      </c>
      <c r="K1163" s="709"/>
      <c r="L1163" s="757"/>
    </row>
    <row r="1164" spans="1:12" hidden="1">
      <c r="A1164" s="689" t="s">
        <v>340</v>
      </c>
      <c r="B1164" s="724" t="s">
        <v>355</v>
      </c>
      <c r="C1164" s="700" t="s">
        <v>63</v>
      </c>
      <c r="D1164" s="734" t="s">
        <v>358</v>
      </c>
      <c r="E1164" s="735"/>
      <c r="F1164" s="736" t="s">
        <v>19</v>
      </c>
      <c r="G1164" s="828">
        <f>ROUND('rura PVC, PP-HT'!L105,2)</f>
        <v>127.41</v>
      </c>
      <c r="H1164" s="704" t="s">
        <v>42</v>
      </c>
      <c r="I1164" s="705" t="s">
        <v>359</v>
      </c>
      <c r="J1164" s="738">
        <v>45</v>
      </c>
      <c r="K1164" s="709"/>
      <c r="L1164" s="757"/>
    </row>
    <row r="1165" spans="1:12" hidden="1">
      <c r="A1165" s="689" t="s">
        <v>340</v>
      </c>
      <c r="B1165" s="724" t="s">
        <v>355</v>
      </c>
      <c r="C1165" s="700" t="s">
        <v>66</v>
      </c>
      <c r="D1165" s="734" t="s">
        <v>120</v>
      </c>
      <c r="E1165" s="735"/>
      <c r="F1165" s="736" t="s">
        <v>19</v>
      </c>
      <c r="G1165" s="828">
        <f>ROUND('rura PVC, PP-HT'!L106,2)</f>
        <v>192.55</v>
      </c>
      <c r="H1165" s="704" t="s">
        <v>42</v>
      </c>
      <c r="I1165" s="705" t="s">
        <v>359</v>
      </c>
      <c r="J1165" s="738">
        <v>49</v>
      </c>
      <c r="K1165" s="709"/>
      <c r="L1165" s="757"/>
    </row>
    <row r="1166" spans="1:12" hidden="1">
      <c r="A1166" s="689" t="s">
        <v>340</v>
      </c>
      <c r="B1166" s="722"/>
      <c r="C1166" s="780"/>
      <c r="D1166" s="755"/>
      <c r="E1166" s="692"/>
      <c r="F1166" s="693"/>
      <c r="G1166" s="829"/>
      <c r="H1166" s="695"/>
      <c r="I1166" s="691"/>
      <c r="J1166" s="690"/>
      <c r="K1166" s="709"/>
      <c r="L1166" s="757"/>
    </row>
    <row r="1167" spans="1:12" hidden="1">
      <c r="A1167" s="689" t="s">
        <v>340</v>
      </c>
      <c r="B1167" s="724" t="s">
        <v>360</v>
      </c>
      <c r="C1167" s="700" t="s">
        <v>57</v>
      </c>
      <c r="D1167" s="734" t="s">
        <v>352</v>
      </c>
      <c r="E1167" s="735"/>
      <c r="F1167" s="736" t="s">
        <v>19</v>
      </c>
      <c r="G1167" s="828"/>
      <c r="H1167" s="704" t="s">
        <v>42</v>
      </c>
      <c r="I1167" s="705"/>
      <c r="J1167" s="738">
        <v>332</v>
      </c>
      <c r="K1167" s="709"/>
      <c r="L1167" s="757"/>
    </row>
    <row r="1168" spans="1:12" hidden="1">
      <c r="A1168" s="689" t="s">
        <v>340</v>
      </c>
      <c r="B1168" s="724" t="s">
        <v>360</v>
      </c>
      <c r="C1168" s="700" t="s">
        <v>347</v>
      </c>
      <c r="D1168" s="734" t="s">
        <v>357</v>
      </c>
      <c r="E1168" s="735"/>
      <c r="F1168" s="736" t="s">
        <v>19</v>
      </c>
      <c r="G1168" s="828"/>
      <c r="H1168" s="704" t="s">
        <v>42</v>
      </c>
      <c r="I1168" s="705"/>
      <c r="J1168" s="738">
        <v>336</v>
      </c>
      <c r="K1168" s="709"/>
      <c r="L1168" s="757"/>
    </row>
    <row r="1169" spans="1:12" hidden="1">
      <c r="A1169" s="689" t="s">
        <v>340</v>
      </c>
      <c r="B1169" s="724" t="s">
        <v>360</v>
      </c>
      <c r="C1169" s="700" t="s">
        <v>62</v>
      </c>
      <c r="D1169" s="844" t="s">
        <v>37</v>
      </c>
      <c r="E1169" s="735">
        <v>4</v>
      </c>
      <c r="F1169" s="736" t="s">
        <v>19</v>
      </c>
      <c r="G1169" s="828">
        <f>ROUND('rura PVC, PP-HT'!L81,2)</f>
        <v>60.73</v>
      </c>
      <c r="H1169" s="704" t="s">
        <v>42</v>
      </c>
      <c r="I1169" s="705"/>
      <c r="J1169" s="738">
        <v>345</v>
      </c>
      <c r="K1169" s="709"/>
      <c r="L1169" s="757"/>
    </row>
    <row r="1170" spans="1:12" hidden="1">
      <c r="A1170" s="689" t="s">
        <v>340</v>
      </c>
      <c r="B1170" s="724" t="s">
        <v>360</v>
      </c>
      <c r="C1170" s="700" t="s">
        <v>66</v>
      </c>
      <c r="D1170" s="734" t="s">
        <v>120</v>
      </c>
      <c r="E1170" s="735"/>
      <c r="F1170" s="736" t="s">
        <v>19</v>
      </c>
      <c r="G1170" s="828">
        <f>ROUND('rura PVC, PP-HT'!L82,2)</f>
        <v>120.59</v>
      </c>
      <c r="H1170" s="704" t="s">
        <v>42</v>
      </c>
      <c r="I1170" s="705"/>
      <c r="J1170" s="738">
        <v>354</v>
      </c>
      <c r="K1170" s="709"/>
      <c r="L1170" s="757"/>
    </row>
    <row r="1171" spans="1:12" hidden="1">
      <c r="A1171" s="689" t="s">
        <v>340</v>
      </c>
      <c r="B1171" s="724" t="s">
        <v>360</v>
      </c>
      <c r="C1171" s="700" t="s">
        <v>121</v>
      </c>
      <c r="D1171" s="734" t="s">
        <v>154</v>
      </c>
      <c r="E1171" s="735"/>
      <c r="F1171" s="736" t="s">
        <v>19</v>
      </c>
      <c r="G1171" s="828">
        <f>ROUND('rura PVC, PP-HT'!L83,2)</f>
        <v>249.21</v>
      </c>
      <c r="H1171" s="704" t="s">
        <v>42</v>
      </c>
      <c r="I1171" s="705"/>
      <c r="J1171" s="738">
        <v>372</v>
      </c>
      <c r="K1171" s="709"/>
      <c r="L1171" s="757"/>
    </row>
    <row r="1172" spans="1:12" hidden="1">
      <c r="A1172" s="689" t="s">
        <v>340</v>
      </c>
      <c r="B1172" s="724" t="s">
        <v>360</v>
      </c>
      <c r="C1172" s="700" t="s">
        <v>122</v>
      </c>
      <c r="D1172" s="734" t="s">
        <v>155</v>
      </c>
      <c r="E1172" s="735"/>
      <c r="F1172" s="736" t="s">
        <v>19</v>
      </c>
      <c r="G1172" s="828">
        <f>ROUND('rura PVC, PP-HT'!L84,2)</f>
        <v>615.76</v>
      </c>
      <c r="H1172" s="704" t="s">
        <v>42</v>
      </c>
      <c r="I1172" s="705"/>
      <c r="J1172" s="738">
        <v>381</v>
      </c>
      <c r="K1172" s="709"/>
      <c r="L1172" s="757"/>
    </row>
    <row r="1173" spans="1:12" hidden="1">
      <c r="A1173" s="689" t="s">
        <v>340</v>
      </c>
      <c r="B1173" s="724" t="s">
        <v>360</v>
      </c>
      <c r="C1173" s="700" t="s">
        <v>156</v>
      </c>
      <c r="D1173" s="734" t="s">
        <v>361</v>
      </c>
      <c r="E1173" s="735"/>
      <c r="F1173" s="736" t="s">
        <v>19</v>
      </c>
      <c r="G1173" s="828">
        <f>ROUND('rura PVC, PP-HT'!L85,2)</f>
        <v>750.42</v>
      </c>
      <c r="H1173" s="704" t="s">
        <v>42</v>
      </c>
      <c r="I1173" s="705"/>
      <c r="J1173" s="738">
        <v>391</v>
      </c>
      <c r="K1173" s="709"/>
      <c r="L1173" s="757"/>
    </row>
    <row r="1174" spans="1:12" hidden="1">
      <c r="A1174" s="689" t="s">
        <v>340</v>
      </c>
      <c r="B1174" s="717"/>
      <c r="C1174" s="781"/>
      <c r="D1174" s="782"/>
      <c r="E1174" s="692"/>
      <c r="F1174" s="693"/>
      <c r="G1174" s="829"/>
      <c r="H1174" s="695"/>
      <c r="I1174" s="691"/>
      <c r="J1174" s="690"/>
      <c r="K1174" s="709"/>
      <c r="L1174" s="757"/>
    </row>
    <row r="1175" spans="1:12" hidden="1">
      <c r="A1175" s="689" t="s">
        <v>340</v>
      </c>
      <c r="B1175" s="724" t="s">
        <v>351</v>
      </c>
      <c r="C1175" s="734"/>
      <c r="D1175" s="734" t="s">
        <v>27</v>
      </c>
      <c r="E1175" s="735"/>
      <c r="F1175" s="736" t="s">
        <v>19</v>
      </c>
      <c r="G1175" s="828">
        <f>ROUND('rura PVC, PP-HT'!L19,2)</f>
        <v>14.22</v>
      </c>
      <c r="H1175" s="704" t="s">
        <v>348</v>
      </c>
      <c r="I1175" s="705"/>
      <c r="J1175" s="738">
        <v>27</v>
      </c>
      <c r="K1175" s="709"/>
      <c r="L1175" s="757"/>
    </row>
    <row r="1176" spans="1:12" hidden="1">
      <c r="A1176" s="689" t="s">
        <v>340</v>
      </c>
      <c r="B1176" s="724" t="s">
        <v>351</v>
      </c>
      <c r="C1176" s="734"/>
      <c r="D1176" s="734" t="s">
        <v>352</v>
      </c>
      <c r="E1176" s="735"/>
      <c r="F1176" s="736" t="s">
        <v>19</v>
      </c>
      <c r="G1176" s="828">
        <f>ROUND('rura PVC, PP-HT'!L20,2)</f>
        <v>13.9</v>
      </c>
      <c r="H1176" s="704" t="s">
        <v>348</v>
      </c>
      <c r="I1176" s="705"/>
      <c r="J1176" s="738">
        <v>32</v>
      </c>
      <c r="K1176" s="709"/>
      <c r="L1176" s="757"/>
    </row>
    <row r="1177" spans="1:12" hidden="1">
      <c r="A1177" s="689" t="s">
        <v>340</v>
      </c>
      <c r="B1177" s="724" t="s">
        <v>351</v>
      </c>
      <c r="C1177" s="700"/>
      <c r="D1177" s="734" t="s">
        <v>353</v>
      </c>
      <c r="E1177" s="735"/>
      <c r="F1177" s="736" t="s">
        <v>19</v>
      </c>
      <c r="G1177" s="828">
        <f>ROUND('rura PVC, PP-HT'!L21,2)</f>
        <v>20.68</v>
      </c>
      <c r="H1177" s="704" t="s">
        <v>348</v>
      </c>
      <c r="I1177" s="705"/>
      <c r="J1177" s="738">
        <v>36</v>
      </c>
      <c r="K1177" s="709"/>
      <c r="L1177" s="757"/>
    </row>
    <row r="1178" spans="1:12" hidden="1">
      <c r="A1178" s="689" t="s">
        <v>340</v>
      </c>
      <c r="B1178" s="724" t="s">
        <v>351</v>
      </c>
      <c r="C1178" s="700"/>
      <c r="D1178" s="844" t="s">
        <v>37</v>
      </c>
      <c r="E1178" s="735">
        <v>4</v>
      </c>
      <c r="F1178" s="736" t="s">
        <v>19</v>
      </c>
      <c r="G1178" s="828">
        <f>ROUND('rura PVC, PP-HT'!L22,2)</f>
        <v>30.9</v>
      </c>
      <c r="H1178" s="704" t="s">
        <v>348</v>
      </c>
      <c r="I1178" s="705"/>
      <c r="J1178" s="738">
        <v>40</v>
      </c>
      <c r="K1178" s="709"/>
      <c r="L1178" s="757"/>
    </row>
    <row r="1179" spans="1:12" hidden="1">
      <c r="A1179" s="689" t="s">
        <v>340</v>
      </c>
      <c r="B1179" s="724" t="s">
        <v>351</v>
      </c>
      <c r="C1179" s="700"/>
      <c r="D1179" s="734" t="s">
        <v>362</v>
      </c>
      <c r="E1179" s="735"/>
      <c r="F1179" s="736" t="s">
        <v>19</v>
      </c>
      <c r="G1179" s="828">
        <f>ROUND('rura PVC, PP-HT'!L23,2)</f>
        <v>81.61</v>
      </c>
      <c r="H1179" s="704" t="s">
        <v>348</v>
      </c>
      <c r="I1179" s="705"/>
      <c r="J1179" s="738">
        <v>45</v>
      </c>
      <c r="K1179" s="709"/>
      <c r="L1179" s="757"/>
    </row>
    <row r="1180" spans="1:12" hidden="1">
      <c r="A1180" s="689" t="s">
        <v>340</v>
      </c>
      <c r="B1180" s="724" t="s">
        <v>351</v>
      </c>
      <c r="C1180" s="700"/>
      <c r="D1180" s="734" t="s">
        <v>120</v>
      </c>
      <c r="E1180" s="735"/>
      <c r="F1180" s="736" t="s">
        <v>19</v>
      </c>
      <c r="G1180" s="828">
        <f>ROUND('rura PVC, PP-HT'!L24,2)</f>
        <v>102.69</v>
      </c>
      <c r="H1180" s="704" t="s">
        <v>348</v>
      </c>
      <c r="I1180" s="705"/>
      <c r="J1180" s="738">
        <v>49</v>
      </c>
      <c r="K1180" s="709"/>
      <c r="L1180" s="757"/>
    </row>
    <row r="1181" spans="1:12" hidden="1">
      <c r="A1181" s="689" t="s">
        <v>340</v>
      </c>
      <c r="B1181" s="722"/>
      <c r="C1181" s="780"/>
      <c r="D1181" s="755"/>
      <c r="E1181" s="692"/>
      <c r="F1181" s="693"/>
      <c r="G1181" s="829"/>
      <c r="H1181" s="695"/>
      <c r="I1181" s="691"/>
      <c r="J1181" s="690"/>
      <c r="K1181" s="709"/>
      <c r="L1181" s="757"/>
    </row>
    <row r="1182" spans="1:12" hidden="1">
      <c r="A1182" s="689" t="s">
        <v>340</v>
      </c>
      <c r="B1182" s="724" t="s">
        <v>355</v>
      </c>
      <c r="C1182" s="734" t="s">
        <v>57</v>
      </c>
      <c r="D1182" s="734" t="s">
        <v>352</v>
      </c>
      <c r="E1182" s="735"/>
      <c r="F1182" s="736" t="s">
        <v>19</v>
      </c>
      <c r="G1182" s="828">
        <f>ROUND('rura PVC, PP-HT'!L28,2)</f>
        <v>16.2</v>
      </c>
      <c r="H1182" s="704" t="s">
        <v>363</v>
      </c>
      <c r="I1182" s="705" t="s">
        <v>364</v>
      </c>
      <c r="J1182" s="738">
        <v>32</v>
      </c>
      <c r="K1182" s="709"/>
      <c r="L1182" s="757"/>
    </row>
    <row r="1183" spans="1:12" hidden="1">
      <c r="A1183" s="689" t="s">
        <v>340</v>
      </c>
      <c r="B1183" s="724" t="s">
        <v>355</v>
      </c>
      <c r="C1183" s="700" t="s">
        <v>347</v>
      </c>
      <c r="D1183" s="734" t="s">
        <v>357</v>
      </c>
      <c r="E1183" s="735"/>
      <c r="F1183" s="736" t="s">
        <v>19</v>
      </c>
      <c r="G1183" s="828">
        <f>ROUND('rura PVC, PP-HT'!L29,2)</f>
        <v>24.36</v>
      </c>
      <c r="H1183" s="704" t="s">
        <v>363</v>
      </c>
      <c r="I1183" s="705" t="s">
        <v>364</v>
      </c>
      <c r="J1183" s="738">
        <v>36</v>
      </c>
      <c r="K1183" s="709"/>
      <c r="L1183" s="757"/>
    </row>
    <row r="1184" spans="1:12" hidden="1">
      <c r="A1184" s="689" t="s">
        <v>340</v>
      </c>
      <c r="B1184" s="724" t="s">
        <v>355</v>
      </c>
      <c r="C1184" s="700" t="s">
        <v>62</v>
      </c>
      <c r="D1184" s="844" t="s">
        <v>37</v>
      </c>
      <c r="E1184" s="735">
        <v>4</v>
      </c>
      <c r="F1184" s="736" t="s">
        <v>19</v>
      </c>
      <c r="G1184" s="828">
        <f>ROUND('rura PVC, PP-HT'!L30,2)</f>
        <v>37.01</v>
      </c>
      <c r="H1184" s="704" t="s">
        <v>363</v>
      </c>
      <c r="I1184" s="705" t="s">
        <v>364</v>
      </c>
      <c r="J1184" s="738">
        <v>40</v>
      </c>
      <c r="K1184" s="709"/>
      <c r="L1184" s="757"/>
    </row>
    <row r="1185" spans="1:12" hidden="1">
      <c r="A1185" s="689" t="s">
        <v>340</v>
      </c>
      <c r="B1185" s="724" t="s">
        <v>355</v>
      </c>
      <c r="C1185" s="700" t="s">
        <v>63</v>
      </c>
      <c r="D1185" s="734" t="s">
        <v>362</v>
      </c>
      <c r="E1185" s="735"/>
      <c r="F1185" s="736" t="s">
        <v>19</v>
      </c>
      <c r="G1185" s="828">
        <f>ROUND('rura PVC, PP-HT'!L31,2)</f>
        <v>78.16</v>
      </c>
      <c r="H1185" s="704" t="s">
        <v>363</v>
      </c>
      <c r="I1185" s="705" t="s">
        <v>364</v>
      </c>
      <c r="J1185" s="738">
        <v>45</v>
      </c>
      <c r="K1185" s="709"/>
      <c r="L1185" s="757"/>
    </row>
    <row r="1186" spans="1:12" hidden="1">
      <c r="A1186" s="689" t="s">
        <v>340</v>
      </c>
      <c r="B1186" s="724" t="s">
        <v>355</v>
      </c>
      <c r="C1186" s="700" t="s">
        <v>66</v>
      </c>
      <c r="D1186" s="734" t="s">
        <v>120</v>
      </c>
      <c r="E1186" s="735"/>
      <c r="F1186" s="736" t="s">
        <v>19</v>
      </c>
      <c r="G1186" s="828">
        <f>ROUND('rura PVC, PP-HT'!L32,2)</f>
        <v>99.74</v>
      </c>
      <c r="H1186" s="704" t="s">
        <v>363</v>
      </c>
      <c r="I1186" s="705" t="s">
        <v>364</v>
      </c>
      <c r="J1186" s="738">
        <v>49</v>
      </c>
      <c r="K1186" s="709"/>
      <c r="L1186" s="757"/>
    </row>
    <row r="1187" spans="1:12" hidden="1">
      <c r="A1187" s="689" t="s">
        <v>340</v>
      </c>
      <c r="B1187" s="724" t="s">
        <v>355</v>
      </c>
      <c r="C1187" s="700" t="s">
        <v>121</v>
      </c>
      <c r="D1187" s="734" t="s">
        <v>154</v>
      </c>
      <c r="E1187" s="735"/>
      <c r="F1187" s="736" t="s">
        <v>19</v>
      </c>
      <c r="G1187" s="828">
        <f>ROUND('rura PVC, PP-HT'!L33,2)</f>
        <v>197.5</v>
      </c>
      <c r="H1187" s="704" t="s">
        <v>363</v>
      </c>
      <c r="I1187" s="705" t="s">
        <v>364</v>
      </c>
      <c r="J1187" s="738">
        <v>54</v>
      </c>
      <c r="K1187" s="709"/>
      <c r="L1187" s="757"/>
    </row>
    <row r="1188" spans="1:12" hidden="1">
      <c r="A1188" s="689" t="s">
        <v>340</v>
      </c>
      <c r="B1188" s="722"/>
      <c r="C1188" s="780"/>
      <c r="D1188" s="755"/>
      <c r="E1188" s="692"/>
      <c r="F1188" s="693"/>
      <c r="G1188" s="829"/>
      <c r="H1188" s="695"/>
      <c r="I1188" s="691"/>
      <c r="J1188" s="690"/>
      <c r="K1188" s="709"/>
      <c r="L1188" s="757"/>
    </row>
    <row r="1189" spans="1:12" hidden="1">
      <c r="A1189" s="689" t="s">
        <v>340</v>
      </c>
      <c r="B1189" s="724" t="s">
        <v>355</v>
      </c>
      <c r="C1189" s="734" t="s">
        <v>57</v>
      </c>
      <c r="D1189" s="734" t="s">
        <v>352</v>
      </c>
      <c r="E1189" s="735"/>
      <c r="F1189" s="736" t="s">
        <v>19</v>
      </c>
      <c r="G1189" s="828">
        <f>ROUND('rura PVC, PP-HT'!L36,2)</f>
        <v>30.64</v>
      </c>
      <c r="H1189" s="704" t="s">
        <v>363</v>
      </c>
      <c r="I1189" s="705" t="s">
        <v>365</v>
      </c>
      <c r="J1189" s="738">
        <f t="shared" ref="J1189:J1194" si="31">J1182</f>
        <v>32</v>
      </c>
      <c r="K1189" s="709"/>
      <c r="L1189" s="757"/>
    </row>
    <row r="1190" spans="1:12" hidden="1">
      <c r="A1190" s="689" t="s">
        <v>340</v>
      </c>
      <c r="B1190" s="724" t="s">
        <v>355</v>
      </c>
      <c r="C1190" s="700" t="s">
        <v>347</v>
      </c>
      <c r="D1190" s="734" t="s">
        <v>357</v>
      </c>
      <c r="E1190" s="735"/>
      <c r="F1190" s="736" t="s">
        <v>19</v>
      </c>
      <c r="G1190" s="828">
        <f>ROUND('rura PVC, PP-HT'!L37,2)</f>
        <v>49.01</v>
      </c>
      <c r="H1190" s="704" t="s">
        <v>363</v>
      </c>
      <c r="I1190" s="705" t="s">
        <v>365</v>
      </c>
      <c r="J1190" s="738">
        <f t="shared" si="31"/>
        <v>36</v>
      </c>
      <c r="K1190" s="709"/>
      <c r="L1190" s="757"/>
    </row>
    <row r="1191" spans="1:12" hidden="1">
      <c r="A1191" s="689" t="s">
        <v>340</v>
      </c>
      <c r="B1191" s="724" t="s">
        <v>355</v>
      </c>
      <c r="C1191" s="700" t="s">
        <v>62</v>
      </c>
      <c r="D1191" s="844" t="s">
        <v>37</v>
      </c>
      <c r="E1191" s="735">
        <v>4</v>
      </c>
      <c r="F1191" s="736" t="s">
        <v>19</v>
      </c>
      <c r="G1191" s="828">
        <f>ROUND('rura PVC, PP-HT'!L38,2)</f>
        <v>74.180000000000007</v>
      </c>
      <c r="H1191" s="704" t="s">
        <v>363</v>
      </c>
      <c r="I1191" s="705" t="s">
        <v>365</v>
      </c>
      <c r="J1191" s="738">
        <f t="shared" si="31"/>
        <v>40</v>
      </c>
      <c r="K1191" s="709"/>
      <c r="L1191" s="757"/>
    </row>
    <row r="1192" spans="1:12" hidden="1">
      <c r="A1192" s="689" t="s">
        <v>340</v>
      </c>
      <c r="B1192" s="724" t="s">
        <v>355</v>
      </c>
      <c r="C1192" s="700" t="s">
        <v>63</v>
      </c>
      <c r="D1192" s="734" t="s">
        <v>362</v>
      </c>
      <c r="E1192" s="735"/>
      <c r="F1192" s="736" t="s">
        <v>19</v>
      </c>
      <c r="G1192" s="828">
        <f>ROUND('rura PVC, PP-HT'!L39,2)</f>
        <v>134.84</v>
      </c>
      <c r="H1192" s="704" t="s">
        <v>363</v>
      </c>
      <c r="I1192" s="705" t="s">
        <v>365</v>
      </c>
      <c r="J1192" s="738">
        <f t="shared" si="31"/>
        <v>45</v>
      </c>
      <c r="K1192" s="709"/>
      <c r="L1192" s="757"/>
    </row>
    <row r="1193" spans="1:12" hidden="1">
      <c r="A1193" s="689" t="s">
        <v>340</v>
      </c>
      <c r="B1193" s="724" t="s">
        <v>355</v>
      </c>
      <c r="C1193" s="700" t="s">
        <v>66</v>
      </c>
      <c r="D1193" s="734" t="s">
        <v>120</v>
      </c>
      <c r="E1193" s="735"/>
      <c r="F1193" s="736" t="s">
        <v>19</v>
      </c>
      <c r="G1193" s="828">
        <f>ROUND('rura PVC, PP-HT'!L40,2)</f>
        <v>182.25</v>
      </c>
      <c r="H1193" s="704" t="s">
        <v>363</v>
      </c>
      <c r="I1193" s="705" t="s">
        <v>365</v>
      </c>
      <c r="J1193" s="738">
        <f t="shared" si="31"/>
        <v>49</v>
      </c>
      <c r="K1193" s="709"/>
      <c r="L1193" s="757"/>
    </row>
    <row r="1194" spans="1:12" hidden="1">
      <c r="A1194" s="689" t="s">
        <v>340</v>
      </c>
      <c r="B1194" s="724" t="s">
        <v>355</v>
      </c>
      <c r="C1194" s="700" t="s">
        <v>121</v>
      </c>
      <c r="D1194" s="734" t="s">
        <v>154</v>
      </c>
      <c r="E1194" s="735"/>
      <c r="F1194" s="736" t="s">
        <v>19</v>
      </c>
      <c r="G1194" s="828">
        <f>ROUND('rura PVC, PP-HT'!L41,2)</f>
        <v>260.99</v>
      </c>
      <c r="H1194" s="704" t="s">
        <v>363</v>
      </c>
      <c r="I1194" s="705" t="s">
        <v>365</v>
      </c>
      <c r="J1194" s="738">
        <f t="shared" si="31"/>
        <v>54</v>
      </c>
      <c r="K1194" s="709"/>
      <c r="L1194" s="757"/>
    </row>
    <row r="1195" spans="1:12" hidden="1">
      <c r="A1195" s="689" t="s">
        <v>340</v>
      </c>
      <c r="B1195" s="722"/>
      <c r="C1195" s="780"/>
      <c r="D1195" s="755"/>
      <c r="E1195" s="692"/>
      <c r="F1195" s="693"/>
      <c r="G1195" s="829"/>
      <c r="H1195" s="695"/>
      <c r="I1195" s="691"/>
      <c r="J1195" s="690"/>
      <c r="K1195" s="709"/>
      <c r="L1195" s="757"/>
    </row>
    <row r="1196" spans="1:12" hidden="1">
      <c r="A1196" s="689" t="s">
        <v>340</v>
      </c>
      <c r="B1196" s="724" t="s">
        <v>355</v>
      </c>
      <c r="C1196" s="734" t="s">
        <v>57</v>
      </c>
      <c r="D1196" s="734" t="s">
        <v>352</v>
      </c>
      <c r="E1196" s="735"/>
      <c r="F1196" s="736" t="s">
        <v>19</v>
      </c>
      <c r="G1196" s="828">
        <f>ROUND('r. HDPE'!S34,2)</f>
        <v>61.07</v>
      </c>
      <c r="H1196" s="704" t="s">
        <v>88</v>
      </c>
      <c r="I1196" s="705" t="s">
        <v>366</v>
      </c>
      <c r="J1196" s="738">
        <v>50</v>
      </c>
      <c r="K1196" s="709" t="s">
        <v>367</v>
      </c>
      <c r="L1196" s="757"/>
    </row>
    <row r="1197" spans="1:12" hidden="1">
      <c r="A1197" s="689" t="s">
        <v>340</v>
      </c>
      <c r="B1197" s="724" t="s">
        <v>355</v>
      </c>
      <c r="C1197" s="734" t="s">
        <v>57</v>
      </c>
      <c r="D1197" s="734" t="s">
        <v>352</v>
      </c>
      <c r="E1197" s="735"/>
      <c r="F1197" s="736" t="s">
        <v>19</v>
      </c>
      <c r="G1197" s="828">
        <f>ROUND('r. HDPE'!S35,2)</f>
        <v>64.17</v>
      </c>
      <c r="H1197" s="704" t="s">
        <v>88</v>
      </c>
      <c r="I1197" s="705" t="s">
        <v>366</v>
      </c>
      <c r="J1197" s="738">
        <v>60</v>
      </c>
      <c r="K1197" s="709" t="s">
        <v>367</v>
      </c>
      <c r="L1197" s="757"/>
    </row>
    <row r="1198" spans="1:12" hidden="1">
      <c r="A1198" s="689" t="s">
        <v>340</v>
      </c>
      <c r="B1198" s="724" t="s">
        <v>355</v>
      </c>
      <c r="C1198" s="700" t="s">
        <v>347</v>
      </c>
      <c r="D1198" s="734" t="s">
        <v>357</v>
      </c>
      <c r="E1198" s="735"/>
      <c r="F1198" s="736" t="s">
        <v>19</v>
      </c>
      <c r="G1198" s="828">
        <f>ROUND('r. HDPE'!S36,2)</f>
        <v>74.53</v>
      </c>
      <c r="H1198" s="704" t="s">
        <v>88</v>
      </c>
      <c r="I1198" s="705" t="s">
        <v>366</v>
      </c>
      <c r="J1198" s="738">
        <v>72</v>
      </c>
      <c r="K1198" s="709" t="s">
        <v>367</v>
      </c>
      <c r="L1198" s="757"/>
    </row>
    <row r="1199" spans="1:12" hidden="1">
      <c r="A1199" s="689" t="s">
        <v>340</v>
      </c>
      <c r="B1199" s="724" t="s">
        <v>355</v>
      </c>
      <c r="C1199" s="700" t="s">
        <v>60</v>
      </c>
      <c r="D1199" s="844" t="s">
        <v>35</v>
      </c>
      <c r="E1199" s="735"/>
      <c r="F1199" s="736" t="s">
        <v>19</v>
      </c>
      <c r="G1199" s="828">
        <f>ROUND('r. HDPE'!S37,2)</f>
        <v>99.04</v>
      </c>
      <c r="H1199" s="704" t="s">
        <v>88</v>
      </c>
      <c r="I1199" s="705" t="s">
        <v>366</v>
      </c>
      <c r="J1199" s="738">
        <v>90</v>
      </c>
      <c r="K1199" s="709" t="s">
        <v>367</v>
      </c>
      <c r="L1199" s="757"/>
    </row>
    <row r="1200" spans="1:12" hidden="1">
      <c r="A1200" s="689" t="s">
        <v>340</v>
      </c>
      <c r="B1200" s="724" t="s">
        <v>355</v>
      </c>
      <c r="C1200" s="700" t="s">
        <v>62</v>
      </c>
      <c r="D1200" s="844" t="s">
        <v>37</v>
      </c>
      <c r="E1200" s="735">
        <v>4</v>
      </c>
      <c r="F1200" s="736" t="s">
        <v>19</v>
      </c>
      <c r="G1200" s="828">
        <f>ROUND('r. HDPE'!S38,2)</f>
        <v>114.01</v>
      </c>
      <c r="H1200" s="704" t="s">
        <v>88</v>
      </c>
      <c r="I1200" s="705" t="s">
        <v>366</v>
      </c>
      <c r="J1200" s="738">
        <v>110</v>
      </c>
      <c r="K1200" s="709" t="s">
        <v>367</v>
      </c>
      <c r="L1200" s="757"/>
    </row>
    <row r="1201" spans="1:12" hidden="1">
      <c r="A1201" s="689" t="s">
        <v>340</v>
      </c>
      <c r="B1201" s="724" t="s">
        <v>355</v>
      </c>
      <c r="C1201" s="700" t="s">
        <v>63</v>
      </c>
      <c r="D1201" s="734" t="s">
        <v>362</v>
      </c>
      <c r="E1201" s="735"/>
      <c r="F1201" s="736" t="s">
        <v>19</v>
      </c>
      <c r="G1201" s="828">
        <f>ROUND('r. HDPE'!S39,2)</f>
        <v>156.22999999999999</v>
      </c>
      <c r="H1201" s="704" t="s">
        <v>88</v>
      </c>
      <c r="I1201" s="705" t="s">
        <v>366</v>
      </c>
      <c r="J1201" s="738">
        <v>135</v>
      </c>
      <c r="K1201" s="709" t="s">
        <v>367</v>
      </c>
      <c r="L1201" s="757"/>
    </row>
    <row r="1202" spans="1:12" hidden="1">
      <c r="A1202" s="689" t="s">
        <v>340</v>
      </c>
      <c r="B1202" s="724" t="s">
        <v>355</v>
      </c>
      <c r="C1202" s="700" t="s">
        <v>66</v>
      </c>
      <c r="D1202" s="734" t="s">
        <v>120</v>
      </c>
      <c r="E1202" s="735"/>
      <c r="F1202" s="736" t="s">
        <v>19</v>
      </c>
      <c r="G1202" s="828">
        <f>ROUND('r. HDPE'!S40,2)</f>
        <v>243.85</v>
      </c>
      <c r="H1202" s="704" t="s">
        <v>88</v>
      </c>
      <c r="I1202" s="705" t="s">
        <v>366</v>
      </c>
      <c r="J1202" s="738">
        <v>150</v>
      </c>
      <c r="K1202" s="709" t="s">
        <v>367</v>
      </c>
      <c r="L1202" s="757"/>
    </row>
    <row r="1203" spans="1:12" hidden="1">
      <c r="A1203" s="689" t="s">
        <v>340</v>
      </c>
      <c r="B1203" s="722"/>
      <c r="C1203" s="780"/>
      <c r="D1203" s="755"/>
      <c r="E1203" s="692"/>
      <c r="F1203" s="693"/>
      <c r="G1203" s="829"/>
      <c r="H1203" s="695"/>
      <c r="I1203" s="691"/>
      <c r="J1203" s="690"/>
      <c r="K1203" s="709"/>
      <c r="L1203" s="757"/>
    </row>
    <row r="1204" spans="1:12" hidden="1">
      <c r="A1204" s="689" t="s">
        <v>134</v>
      </c>
      <c r="B1204" s="724" t="s">
        <v>360</v>
      </c>
      <c r="C1204" s="700" t="s">
        <v>62</v>
      </c>
      <c r="D1204" s="844" t="s">
        <v>37</v>
      </c>
      <c r="E1204" s="735">
        <v>4</v>
      </c>
      <c r="F1204" s="736" t="s">
        <v>19</v>
      </c>
      <c r="G1204" s="828">
        <f>ROUND('rura PVC, PP-HT'!L45,2)</f>
        <v>28.55</v>
      </c>
      <c r="H1204" s="704" t="s">
        <v>348</v>
      </c>
      <c r="I1204" s="705" t="s">
        <v>368</v>
      </c>
      <c r="J1204" s="738">
        <f>J1169</f>
        <v>345</v>
      </c>
      <c r="K1204" s="709"/>
      <c r="L1204" s="757"/>
    </row>
    <row r="1205" spans="1:12" hidden="1">
      <c r="A1205" s="689" t="s">
        <v>134</v>
      </c>
      <c r="B1205" s="724" t="s">
        <v>360</v>
      </c>
      <c r="C1205" s="700" t="s">
        <v>66</v>
      </c>
      <c r="D1205" s="734" t="s">
        <v>120</v>
      </c>
      <c r="E1205" s="735"/>
      <c r="F1205" s="736" t="s">
        <v>19</v>
      </c>
      <c r="G1205" s="828">
        <f>ROUND('rura PVC, PP-HT'!L46,2)</f>
        <v>62.55</v>
      </c>
      <c r="H1205" s="704" t="s">
        <v>348</v>
      </c>
      <c r="I1205" s="705" t="s">
        <v>368</v>
      </c>
      <c r="J1205" s="738">
        <f>J1170</f>
        <v>354</v>
      </c>
      <c r="K1205" s="709"/>
      <c r="L1205" s="757"/>
    </row>
    <row r="1206" spans="1:12" hidden="1">
      <c r="A1206" s="689" t="s">
        <v>134</v>
      </c>
      <c r="B1206" s="724" t="s">
        <v>360</v>
      </c>
      <c r="C1206" s="700" t="s">
        <v>121</v>
      </c>
      <c r="D1206" s="734" t="s">
        <v>154</v>
      </c>
      <c r="E1206" s="735"/>
      <c r="F1206" s="736" t="s">
        <v>19</v>
      </c>
      <c r="G1206" s="828">
        <f>ROUND('rura PVC, PP-HT'!L47,2)</f>
        <v>94.03</v>
      </c>
      <c r="H1206" s="704" t="s">
        <v>348</v>
      </c>
      <c r="I1206" s="705" t="s">
        <v>368</v>
      </c>
      <c r="J1206" s="738">
        <f>J1171</f>
        <v>372</v>
      </c>
      <c r="K1206" s="709"/>
      <c r="L1206" s="757"/>
    </row>
    <row r="1207" spans="1:12" hidden="1">
      <c r="A1207" s="689" t="s">
        <v>134</v>
      </c>
      <c r="B1207" s="724" t="s">
        <v>360</v>
      </c>
      <c r="C1207" s="700" t="s">
        <v>122</v>
      </c>
      <c r="D1207" s="734" t="s">
        <v>155</v>
      </c>
      <c r="E1207" s="735"/>
      <c r="F1207" s="736" t="s">
        <v>19</v>
      </c>
      <c r="G1207" s="828">
        <f>ROUND('rura PVC, PP-HT'!L48,2)</f>
        <v>144.31</v>
      </c>
      <c r="H1207" s="704" t="s">
        <v>348</v>
      </c>
      <c r="I1207" s="705" t="s">
        <v>368</v>
      </c>
      <c r="J1207" s="738">
        <f>J1172</f>
        <v>381</v>
      </c>
      <c r="K1207" s="709"/>
      <c r="L1207" s="757"/>
    </row>
    <row r="1208" spans="1:12" hidden="1">
      <c r="A1208" s="689" t="s">
        <v>134</v>
      </c>
      <c r="B1208" s="724" t="s">
        <v>360</v>
      </c>
      <c r="C1208" s="700" t="s">
        <v>156</v>
      </c>
      <c r="D1208" s="734" t="s">
        <v>361</v>
      </c>
      <c r="E1208" s="735"/>
      <c r="F1208" s="736" t="s">
        <v>19</v>
      </c>
      <c r="G1208" s="828">
        <f>ROUND('rura PVC, PP-HT'!L49,2)</f>
        <v>255.74</v>
      </c>
      <c r="H1208" s="704" t="s">
        <v>348</v>
      </c>
      <c r="I1208" s="705" t="s">
        <v>368</v>
      </c>
      <c r="J1208" s="738">
        <f>J1173</f>
        <v>391</v>
      </c>
      <c r="K1208" s="709"/>
      <c r="L1208" s="757"/>
    </row>
    <row r="1209" spans="1:12" hidden="1">
      <c r="A1209" s="689" t="s">
        <v>134</v>
      </c>
      <c r="B1209" s="722"/>
      <c r="C1209" s="780"/>
      <c r="D1209" s="755"/>
      <c r="E1209" s="692"/>
      <c r="F1209" s="693"/>
      <c r="G1209" s="829"/>
      <c r="H1209" s="695"/>
      <c r="I1209" s="691"/>
      <c r="J1209" s="690"/>
      <c r="K1209" s="709"/>
      <c r="L1209" s="757"/>
    </row>
    <row r="1210" spans="1:12" hidden="1">
      <c r="A1210" s="689" t="s">
        <v>134</v>
      </c>
      <c r="B1210" s="724" t="s">
        <v>360</v>
      </c>
      <c r="C1210" s="700" t="s">
        <v>62</v>
      </c>
      <c r="D1210" s="844" t="s">
        <v>37</v>
      </c>
      <c r="E1210" s="735">
        <v>4</v>
      </c>
      <c r="F1210" s="736" t="s">
        <v>19</v>
      </c>
      <c r="G1210" s="828">
        <f>ROUND('rura PVC, PP-HT'!L63,2)</f>
        <v>88.26</v>
      </c>
      <c r="H1210" s="704" t="s">
        <v>348</v>
      </c>
      <c r="I1210" s="705" t="s">
        <v>369</v>
      </c>
      <c r="J1210" s="738">
        <f>J1204</f>
        <v>345</v>
      </c>
      <c r="K1210" s="709"/>
      <c r="L1210" s="757"/>
    </row>
    <row r="1211" spans="1:12" hidden="1">
      <c r="A1211" s="689" t="s">
        <v>134</v>
      </c>
      <c r="B1211" s="724" t="s">
        <v>360</v>
      </c>
      <c r="C1211" s="700" t="s">
        <v>66</v>
      </c>
      <c r="D1211" s="734" t="s">
        <v>120</v>
      </c>
      <c r="E1211" s="735"/>
      <c r="F1211" s="736" t="s">
        <v>19</v>
      </c>
      <c r="G1211" s="828">
        <f>ROUND('rura PVC, PP-HT'!L64,2)</f>
        <v>150.86000000000001</v>
      </c>
      <c r="H1211" s="704" t="s">
        <v>348</v>
      </c>
      <c r="I1211" s="705" t="s">
        <v>369</v>
      </c>
      <c r="J1211" s="738">
        <f>J1205</f>
        <v>354</v>
      </c>
      <c r="K1211" s="709"/>
      <c r="L1211" s="757"/>
    </row>
    <row r="1212" spans="1:12" hidden="1">
      <c r="A1212" s="689" t="s">
        <v>134</v>
      </c>
      <c r="B1212" s="724" t="s">
        <v>360</v>
      </c>
      <c r="C1212" s="700" t="s">
        <v>121</v>
      </c>
      <c r="D1212" s="734" t="s">
        <v>154</v>
      </c>
      <c r="E1212" s="735"/>
      <c r="F1212" s="736" t="s">
        <v>19</v>
      </c>
      <c r="G1212" s="828">
        <f>ROUND('rura PVC, PP-HT'!L65,2)</f>
        <v>236.5</v>
      </c>
      <c r="H1212" s="704" t="s">
        <v>348</v>
      </c>
      <c r="I1212" s="705" t="s">
        <v>369</v>
      </c>
      <c r="J1212" s="738">
        <f>J1206</f>
        <v>372</v>
      </c>
      <c r="K1212" s="709"/>
      <c r="L1212" s="757"/>
    </row>
    <row r="1213" spans="1:12" hidden="1">
      <c r="A1213" s="689" t="s">
        <v>134</v>
      </c>
      <c r="B1213" s="724" t="s">
        <v>360</v>
      </c>
      <c r="C1213" s="700" t="s">
        <v>122</v>
      </c>
      <c r="D1213" s="734" t="s">
        <v>155</v>
      </c>
      <c r="E1213" s="735"/>
      <c r="F1213" s="736" t="s">
        <v>19</v>
      </c>
      <c r="G1213" s="828">
        <f>ROUND('rura PVC, PP-HT'!L66,2)</f>
        <v>318.83</v>
      </c>
      <c r="H1213" s="704" t="s">
        <v>348</v>
      </c>
      <c r="I1213" s="705" t="s">
        <v>369</v>
      </c>
      <c r="J1213" s="738">
        <f>J1207</f>
        <v>381</v>
      </c>
      <c r="K1213" s="709"/>
      <c r="L1213" s="757"/>
    </row>
    <row r="1214" spans="1:12" hidden="1">
      <c r="A1214" s="689" t="s">
        <v>134</v>
      </c>
      <c r="B1214" s="724" t="s">
        <v>360</v>
      </c>
      <c r="C1214" s="700" t="s">
        <v>156</v>
      </c>
      <c r="D1214" s="734" t="s">
        <v>361</v>
      </c>
      <c r="E1214" s="735"/>
      <c r="F1214" s="736" t="s">
        <v>19</v>
      </c>
      <c r="G1214" s="828">
        <f>ROUND('rura PVC, PP-HT'!L67,2)</f>
        <v>545.76</v>
      </c>
      <c r="H1214" s="704" t="s">
        <v>348</v>
      </c>
      <c r="I1214" s="705" t="s">
        <v>369</v>
      </c>
      <c r="J1214" s="738">
        <f>J1208</f>
        <v>391</v>
      </c>
      <c r="K1214" s="709"/>
      <c r="L1214" s="757"/>
    </row>
    <row r="1215" spans="1:12" hidden="1">
      <c r="A1215" s="689" t="s">
        <v>134</v>
      </c>
      <c r="B1215" s="724" t="s">
        <v>360</v>
      </c>
      <c r="C1215" s="700" t="s">
        <v>176</v>
      </c>
      <c r="D1215" s="734" t="s">
        <v>370</v>
      </c>
      <c r="E1215" s="735"/>
      <c r="F1215" s="736" t="s">
        <v>19</v>
      </c>
      <c r="G1215" s="828">
        <f>ROUND('rura PVC, PP-HT'!L68,2)</f>
        <v>1082.72</v>
      </c>
      <c r="H1215" s="704" t="s">
        <v>348</v>
      </c>
      <c r="I1215" s="705" t="s">
        <v>369</v>
      </c>
      <c r="J1215" s="738"/>
      <c r="K1215" s="709"/>
      <c r="L1215" s="757"/>
    </row>
    <row r="1216" spans="1:12" hidden="1">
      <c r="A1216" s="689" t="s">
        <v>134</v>
      </c>
      <c r="B1216" s="724" t="s">
        <v>360</v>
      </c>
      <c r="C1216" s="700" t="s">
        <v>178</v>
      </c>
      <c r="D1216" s="734" t="s">
        <v>371</v>
      </c>
      <c r="E1216" s="735"/>
      <c r="F1216" s="736" t="s">
        <v>19</v>
      </c>
      <c r="G1216" s="828">
        <f>ROUND('rura PVC, PP-HT'!L69,2)</f>
        <v>2385.48</v>
      </c>
      <c r="H1216" s="704" t="s">
        <v>348</v>
      </c>
      <c r="I1216" s="705" t="s">
        <v>369</v>
      </c>
      <c r="J1216" s="738"/>
      <c r="K1216" s="709"/>
      <c r="L1216" s="757"/>
    </row>
    <row r="1217" spans="1:12" hidden="1">
      <c r="A1217" s="689" t="s">
        <v>134</v>
      </c>
      <c r="B1217" s="722"/>
      <c r="C1217" s="780"/>
      <c r="D1217" s="755"/>
      <c r="E1217" s="692"/>
      <c r="F1217" s="693"/>
      <c r="G1217" s="829"/>
      <c r="H1217" s="695"/>
      <c r="I1217" s="691"/>
      <c r="J1217" s="690"/>
      <c r="K1217" s="709"/>
      <c r="L1217" s="757"/>
    </row>
    <row r="1218" spans="1:12" hidden="1">
      <c r="A1218" s="689" t="s">
        <v>134</v>
      </c>
      <c r="B1218" s="724" t="s">
        <v>360</v>
      </c>
      <c r="C1218" s="700" t="s">
        <v>62</v>
      </c>
      <c r="D1218" s="844" t="s">
        <v>37</v>
      </c>
      <c r="E1218" s="735">
        <v>4</v>
      </c>
      <c r="F1218" s="736" t="s">
        <v>19</v>
      </c>
      <c r="G1218" s="828">
        <f>ROUND('rura PVC, PP-HT'!L130,2)</f>
        <v>53.01</v>
      </c>
      <c r="H1218" s="704" t="s">
        <v>372</v>
      </c>
      <c r="I1218" s="705"/>
      <c r="J1218" s="738">
        <f>J1210</f>
        <v>345</v>
      </c>
      <c r="K1218" s="709"/>
      <c r="L1218" s="757"/>
    </row>
    <row r="1219" spans="1:12" hidden="1">
      <c r="A1219" s="689" t="s">
        <v>134</v>
      </c>
      <c r="B1219" s="724" t="s">
        <v>360</v>
      </c>
      <c r="C1219" s="700" t="s">
        <v>66</v>
      </c>
      <c r="D1219" s="734" t="s">
        <v>120</v>
      </c>
      <c r="E1219" s="735"/>
      <c r="F1219" s="736" t="s">
        <v>19</v>
      </c>
      <c r="G1219" s="828">
        <f>ROUND('rura PVC, PP-HT'!L131,2)</f>
        <v>108.57</v>
      </c>
      <c r="H1219" s="704" t="s">
        <v>372</v>
      </c>
      <c r="I1219" s="705"/>
      <c r="J1219" s="738">
        <f>J1211</f>
        <v>354</v>
      </c>
      <c r="K1219" s="709"/>
      <c r="L1219" s="757"/>
    </row>
    <row r="1220" spans="1:12" hidden="1">
      <c r="A1220" s="689" t="s">
        <v>134</v>
      </c>
      <c r="B1220" s="724" t="s">
        <v>360</v>
      </c>
      <c r="C1220" s="700" t="s">
        <v>121</v>
      </c>
      <c r="D1220" s="734" t="s">
        <v>154</v>
      </c>
      <c r="E1220" s="735"/>
      <c r="F1220" s="736" t="s">
        <v>19</v>
      </c>
      <c r="G1220" s="828">
        <f>ROUND('rura PVC, PP-HT'!L132,2)</f>
        <v>169.44</v>
      </c>
      <c r="H1220" s="704" t="s">
        <v>372</v>
      </c>
      <c r="I1220" s="705"/>
      <c r="J1220" s="738">
        <f>J1212</f>
        <v>372</v>
      </c>
      <c r="K1220" s="709"/>
      <c r="L1220" s="757"/>
    </row>
    <row r="1221" spans="1:12" hidden="1">
      <c r="A1221" s="689" t="s">
        <v>134</v>
      </c>
      <c r="B1221" s="724" t="s">
        <v>360</v>
      </c>
      <c r="C1221" s="700" t="s">
        <v>122</v>
      </c>
      <c r="D1221" s="734" t="s">
        <v>155</v>
      </c>
      <c r="E1221" s="735"/>
      <c r="F1221" s="736" t="s">
        <v>19</v>
      </c>
      <c r="G1221" s="828">
        <f>ROUND('rura PVC, PP-HT'!L133,2)</f>
        <v>324.37</v>
      </c>
      <c r="H1221" s="704" t="s">
        <v>372</v>
      </c>
      <c r="I1221" s="705"/>
      <c r="J1221" s="738">
        <f>J1213</f>
        <v>381</v>
      </c>
      <c r="K1221" s="709"/>
      <c r="L1221" s="757"/>
    </row>
    <row r="1222" spans="1:12" hidden="1">
      <c r="A1222" s="689" t="s">
        <v>134</v>
      </c>
      <c r="B1222" s="724" t="s">
        <v>360</v>
      </c>
      <c r="C1222" s="700" t="s">
        <v>156</v>
      </c>
      <c r="D1222" s="734" t="s">
        <v>361</v>
      </c>
      <c r="E1222" s="735"/>
      <c r="F1222" s="736" t="s">
        <v>19</v>
      </c>
      <c r="G1222" s="828">
        <f>ROUND('rura PVC, PP-HT'!L134,2)</f>
        <v>665.5</v>
      </c>
      <c r="H1222" s="704" t="s">
        <v>372</v>
      </c>
      <c r="I1222" s="705"/>
      <c r="J1222" s="738">
        <f>J1214</f>
        <v>391</v>
      </c>
      <c r="K1222" s="709"/>
      <c r="L1222" s="757"/>
    </row>
    <row r="1223" spans="1:12" hidden="1">
      <c r="A1223" s="689" t="s">
        <v>134</v>
      </c>
      <c r="B1223" s="739"/>
      <c r="C1223" s="739"/>
      <c r="D1223" s="739"/>
      <c r="E1223" s="692"/>
      <c r="F1223" s="693"/>
      <c r="G1223" s="723"/>
      <c r="H1223" s="695"/>
      <c r="I1223" s="691"/>
      <c r="J1223" s="690"/>
      <c r="K1223" s="709"/>
      <c r="L1223" s="757"/>
    </row>
    <row r="1224" spans="1:12" hidden="1">
      <c r="A1224" s="689" t="s">
        <v>134</v>
      </c>
      <c r="B1224" s="724" t="s">
        <v>373</v>
      </c>
      <c r="C1224" s="734" t="s">
        <v>57</v>
      </c>
      <c r="D1224" s="697"/>
      <c r="E1224" s="735"/>
      <c r="F1224" s="736" t="s">
        <v>19</v>
      </c>
      <c r="G1224" s="727"/>
      <c r="H1224" s="704"/>
      <c r="I1224" s="705"/>
      <c r="J1224" s="738">
        <v>365</v>
      </c>
      <c r="K1224" s="709"/>
      <c r="L1224" s="757"/>
    </row>
    <row r="1225" spans="1:12" hidden="1">
      <c r="A1225" s="689" t="s">
        <v>134</v>
      </c>
      <c r="B1225" s="724" t="s">
        <v>373</v>
      </c>
      <c r="C1225" s="700" t="s">
        <v>347</v>
      </c>
      <c r="D1225" s="697"/>
      <c r="E1225" s="735"/>
      <c r="F1225" s="736" t="s">
        <v>19</v>
      </c>
      <c r="G1225" s="727"/>
      <c r="H1225" s="704"/>
      <c r="I1225" s="705"/>
      <c r="J1225" s="738">
        <v>380</v>
      </c>
      <c r="K1225" s="709"/>
      <c r="L1225" s="757"/>
    </row>
    <row r="1226" spans="1:12" hidden="1">
      <c r="A1226" s="689" t="s">
        <v>134</v>
      </c>
      <c r="B1226" s="724" t="s">
        <v>373</v>
      </c>
      <c r="C1226" s="700" t="s">
        <v>62</v>
      </c>
      <c r="D1226" s="844" t="s">
        <v>37</v>
      </c>
      <c r="E1226" s="735">
        <v>4</v>
      </c>
      <c r="F1226" s="736" t="s">
        <v>19</v>
      </c>
      <c r="G1226" s="727"/>
      <c r="H1226" s="704"/>
      <c r="I1226" s="705"/>
      <c r="J1226" s="738">
        <v>420</v>
      </c>
      <c r="K1226" s="709"/>
      <c r="L1226" s="757"/>
    </row>
    <row r="1227" spans="1:12" hidden="1">
      <c r="A1227" s="689" t="s">
        <v>134</v>
      </c>
      <c r="B1227" s="724" t="s">
        <v>373</v>
      </c>
      <c r="C1227" s="700" t="s">
        <v>63</v>
      </c>
      <c r="D1227" s="697"/>
      <c r="E1227" s="735"/>
      <c r="F1227" s="736" t="s">
        <v>19</v>
      </c>
      <c r="G1227" s="727"/>
      <c r="H1227" s="704"/>
      <c r="I1227" s="705"/>
      <c r="J1227" s="738">
        <v>440</v>
      </c>
      <c r="K1227" s="709"/>
      <c r="L1227" s="757"/>
    </row>
    <row r="1228" spans="1:12" hidden="1">
      <c r="A1228" s="689" t="s">
        <v>134</v>
      </c>
      <c r="B1228" s="724" t="s">
        <v>373</v>
      </c>
      <c r="C1228" s="700" t="s">
        <v>66</v>
      </c>
      <c r="D1228" s="697"/>
      <c r="E1228" s="735"/>
      <c r="F1228" s="736" t="s">
        <v>19</v>
      </c>
      <c r="G1228" s="727"/>
      <c r="H1228" s="704"/>
      <c r="I1228" s="705"/>
      <c r="J1228" s="738">
        <v>450</v>
      </c>
      <c r="K1228" s="709"/>
      <c r="L1228" s="757"/>
    </row>
    <row r="1229" spans="1:12" hidden="1">
      <c r="A1229" s="689" t="s">
        <v>134</v>
      </c>
      <c r="B1229" s="724" t="s">
        <v>373</v>
      </c>
      <c r="C1229" s="734" t="s">
        <v>121</v>
      </c>
      <c r="D1229" s="697"/>
      <c r="E1229" s="735"/>
      <c r="F1229" s="736" t="s">
        <v>19</v>
      </c>
      <c r="G1229" s="727"/>
      <c r="H1229" s="704"/>
      <c r="I1229" s="705"/>
      <c r="J1229" s="738">
        <v>500</v>
      </c>
      <c r="K1229" s="709"/>
      <c r="L1229" s="757"/>
    </row>
    <row r="1230" spans="1:12" hidden="1">
      <c r="A1230" s="689" t="s">
        <v>134</v>
      </c>
      <c r="B1230" s="739"/>
      <c r="C1230" s="739"/>
      <c r="D1230" s="739"/>
      <c r="E1230" s="692"/>
      <c r="F1230" s="693"/>
      <c r="G1230" s="723"/>
      <c r="H1230" s="695"/>
      <c r="I1230" s="691"/>
      <c r="J1230" s="690">
        <v>0</v>
      </c>
      <c r="K1230" s="709"/>
      <c r="L1230" s="757"/>
    </row>
    <row r="1231" spans="1:12" hidden="1">
      <c r="A1231" s="689" t="s">
        <v>134</v>
      </c>
      <c r="B1231" s="724" t="s">
        <v>374</v>
      </c>
      <c r="C1231" s="697"/>
      <c r="D1231" s="710" t="s">
        <v>375</v>
      </c>
      <c r="E1231" s="735"/>
      <c r="F1231" s="736" t="s">
        <v>19</v>
      </c>
      <c r="G1231" s="727">
        <f>G1309</f>
        <v>43.32</v>
      </c>
      <c r="H1231" s="704" t="s">
        <v>42</v>
      </c>
      <c r="I1231" s="705"/>
      <c r="J1231" s="738">
        <v>450</v>
      </c>
      <c r="K1231" s="709"/>
      <c r="L1231" s="757"/>
    </row>
    <row r="1232" spans="1:12" hidden="1">
      <c r="A1232" s="689" t="s">
        <v>134</v>
      </c>
      <c r="B1232" s="724" t="s">
        <v>374</v>
      </c>
      <c r="C1232" s="697"/>
      <c r="D1232" s="710" t="s">
        <v>376</v>
      </c>
      <c r="E1232" s="735"/>
      <c r="F1232" s="736" t="s">
        <v>19</v>
      </c>
      <c r="G1232" s="727">
        <f>G1310</f>
        <v>47.37</v>
      </c>
      <c r="H1232" s="704" t="s">
        <v>42</v>
      </c>
      <c r="I1232" s="705"/>
      <c r="J1232" s="738">
        <v>500</v>
      </c>
      <c r="K1232" s="709"/>
      <c r="L1232" s="757"/>
    </row>
    <row r="1233" spans="1:12" hidden="1">
      <c r="A1233" s="689" t="s">
        <v>134</v>
      </c>
      <c r="B1233" s="724" t="s">
        <v>374</v>
      </c>
      <c r="C1233" s="697"/>
      <c r="D1233" s="710" t="s">
        <v>357</v>
      </c>
      <c r="E1233" s="735"/>
      <c r="F1233" s="736" t="s">
        <v>19</v>
      </c>
      <c r="G1233" s="727">
        <f>G1311</f>
        <v>49.15</v>
      </c>
      <c r="H1233" s="704" t="s">
        <v>42</v>
      </c>
      <c r="I1233" s="705"/>
      <c r="J1233" s="738">
        <v>300</v>
      </c>
      <c r="K1233" s="709"/>
      <c r="L1233" s="757"/>
    </row>
    <row r="1234" spans="1:12" hidden="1">
      <c r="A1234" s="689" t="s">
        <v>134</v>
      </c>
      <c r="B1234" s="724" t="s">
        <v>374</v>
      </c>
      <c r="C1234" s="697"/>
      <c r="D1234" s="710" t="s">
        <v>377</v>
      </c>
      <c r="E1234" s="735"/>
      <c r="F1234" s="736" t="s">
        <v>19</v>
      </c>
      <c r="G1234" s="727">
        <f>G1312</f>
        <v>54.91</v>
      </c>
      <c r="H1234" s="704" t="s">
        <v>42</v>
      </c>
      <c r="I1234" s="705"/>
      <c r="J1234" s="738">
        <v>350</v>
      </c>
      <c r="K1234" s="709"/>
      <c r="L1234" s="757"/>
    </row>
    <row r="1235" spans="1:12" hidden="1">
      <c r="A1235" s="689" t="s">
        <v>134</v>
      </c>
      <c r="B1235" s="724" t="s">
        <v>374</v>
      </c>
      <c r="C1235" s="697"/>
      <c r="D1235" s="710" t="s">
        <v>326</v>
      </c>
      <c r="E1235" s="735"/>
      <c r="F1235" s="736" t="s">
        <v>19</v>
      </c>
      <c r="G1235" s="727">
        <f>G1313</f>
        <v>66.42</v>
      </c>
      <c r="H1235" s="704" t="s">
        <v>42</v>
      </c>
      <c r="I1235" s="705"/>
      <c r="J1235" s="738">
        <v>360</v>
      </c>
      <c r="K1235" s="709"/>
      <c r="L1235" s="757"/>
    </row>
    <row r="1236" spans="1:12" hidden="1">
      <c r="A1236" s="689" t="s">
        <v>134</v>
      </c>
      <c r="B1236" s="724" t="s">
        <v>374</v>
      </c>
      <c r="C1236" s="697"/>
      <c r="D1236" s="710" t="s">
        <v>358</v>
      </c>
      <c r="E1236" s="735"/>
      <c r="F1236" s="736" t="s">
        <v>19</v>
      </c>
      <c r="G1236" s="727">
        <f>G1314</f>
        <v>83.18</v>
      </c>
      <c r="H1236" s="704" t="s">
        <v>42</v>
      </c>
      <c r="I1236" s="705"/>
      <c r="J1236" s="738">
        <v>372</v>
      </c>
      <c r="K1236" s="709"/>
      <c r="L1236" s="757"/>
    </row>
    <row r="1237" spans="1:12" hidden="1">
      <c r="A1237" s="689" t="s">
        <v>134</v>
      </c>
      <c r="B1237" s="724" t="s">
        <v>374</v>
      </c>
      <c r="C1237" s="697"/>
      <c r="D1237" s="710" t="s">
        <v>120</v>
      </c>
      <c r="E1237" s="735"/>
      <c r="F1237" s="736" t="s">
        <v>19</v>
      </c>
      <c r="G1237" s="727">
        <f>G1315</f>
        <v>108.45</v>
      </c>
      <c r="H1237" s="704" t="s">
        <v>42</v>
      </c>
      <c r="I1237" s="705"/>
      <c r="J1237" s="738">
        <v>390</v>
      </c>
      <c r="K1237" s="709"/>
      <c r="L1237" s="757"/>
    </row>
    <row r="1238" spans="1:12" hidden="1">
      <c r="A1238" s="689" t="s">
        <v>134</v>
      </c>
      <c r="B1238" s="724" t="s">
        <v>374</v>
      </c>
      <c r="C1238" s="697"/>
      <c r="D1238" s="710" t="s">
        <v>154</v>
      </c>
      <c r="E1238" s="735"/>
      <c r="F1238" s="736" t="s">
        <v>19</v>
      </c>
      <c r="G1238" s="727">
        <f>G1316</f>
        <v>181.72</v>
      </c>
      <c r="H1238" s="704" t="s">
        <v>42</v>
      </c>
      <c r="I1238" s="705"/>
      <c r="J1238" s="738">
        <v>410</v>
      </c>
      <c r="K1238" s="709"/>
      <c r="L1238" s="757"/>
    </row>
    <row r="1239" spans="1:12" hidden="1">
      <c r="A1239" s="689" t="s">
        <v>134</v>
      </c>
      <c r="B1239" s="724" t="s">
        <v>374</v>
      </c>
      <c r="C1239" s="697"/>
      <c r="D1239" s="710" t="s">
        <v>155</v>
      </c>
      <c r="E1239" s="735"/>
      <c r="F1239" s="736" t="s">
        <v>19</v>
      </c>
      <c r="G1239" s="727">
        <f>G1317</f>
        <v>505.09</v>
      </c>
      <c r="H1239" s="704" t="s">
        <v>42</v>
      </c>
      <c r="I1239" s="705"/>
      <c r="J1239" s="738">
        <v>435</v>
      </c>
      <c r="K1239" s="709"/>
      <c r="L1239" s="757"/>
    </row>
    <row r="1240" spans="1:12" hidden="1">
      <c r="A1240" s="689" t="s">
        <v>378</v>
      </c>
      <c r="B1240" s="722"/>
      <c r="C1240" s="739"/>
      <c r="D1240" s="783"/>
      <c r="E1240" s="692"/>
      <c r="F1240" s="693"/>
      <c r="G1240" s="723"/>
      <c r="H1240" s="695"/>
      <c r="I1240" s="691"/>
      <c r="J1240" s="690"/>
      <c r="K1240" s="709"/>
      <c r="L1240" s="757"/>
    </row>
    <row r="1241" spans="1:12" hidden="1">
      <c r="A1241" s="689" t="s">
        <v>378</v>
      </c>
      <c r="B1241" s="699" t="s">
        <v>379</v>
      </c>
      <c r="C1241" s="725" t="s">
        <v>57</v>
      </c>
      <c r="D1241" s="710"/>
      <c r="E1241" s="735"/>
      <c r="F1241" s="736" t="s">
        <v>19</v>
      </c>
      <c r="G1241" s="727"/>
      <c r="H1241" s="704"/>
      <c r="I1241" s="705"/>
      <c r="J1241" s="738">
        <v>65</v>
      </c>
      <c r="K1241" s="709"/>
      <c r="L1241" s="757"/>
    </row>
    <row r="1242" spans="1:12" hidden="1">
      <c r="A1242" s="689" t="s">
        <v>378</v>
      </c>
      <c r="B1242" s="699" t="s">
        <v>379</v>
      </c>
      <c r="C1242" s="725" t="s">
        <v>347</v>
      </c>
      <c r="D1242" s="710"/>
      <c r="E1242" s="735"/>
      <c r="F1242" s="736" t="s">
        <v>19</v>
      </c>
      <c r="G1242" s="727"/>
      <c r="H1242" s="704"/>
      <c r="I1242" s="705"/>
      <c r="J1242" s="738">
        <v>80</v>
      </c>
      <c r="K1242" s="709"/>
      <c r="L1242" s="757"/>
    </row>
    <row r="1243" spans="1:12" hidden="1">
      <c r="A1243" s="689" t="s">
        <v>378</v>
      </c>
      <c r="B1243" s="699" t="s">
        <v>379</v>
      </c>
      <c r="C1243" s="725" t="s">
        <v>62</v>
      </c>
      <c r="D1243" s="844" t="s">
        <v>37</v>
      </c>
      <c r="E1243" s="735">
        <v>4</v>
      </c>
      <c r="F1243" s="736" t="s">
        <v>19</v>
      </c>
      <c r="G1243" s="727"/>
      <c r="H1243" s="704"/>
      <c r="I1243" s="705"/>
      <c r="J1243" s="738">
        <v>120</v>
      </c>
      <c r="K1243" s="709"/>
      <c r="L1243" s="757"/>
    </row>
    <row r="1244" spans="1:12" hidden="1">
      <c r="A1244" s="689" t="s">
        <v>378</v>
      </c>
      <c r="B1244" s="699" t="s">
        <v>379</v>
      </c>
      <c r="C1244" s="725" t="s">
        <v>63</v>
      </c>
      <c r="D1244" s="710"/>
      <c r="E1244" s="735"/>
      <c r="F1244" s="736" t="s">
        <v>19</v>
      </c>
      <c r="G1244" s="727"/>
      <c r="H1244" s="704"/>
      <c r="I1244" s="705"/>
      <c r="J1244" s="738">
        <v>140</v>
      </c>
      <c r="K1244" s="709"/>
      <c r="L1244" s="757"/>
    </row>
    <row r="1245" spans="1:12" hidden="1">
      <c r="A1245" s="689" t="s">
        <v>378</v>
      </c>
      <c r="B1245" s="699" t="s">
        <v>379</v>
      </c>
      <c r="C1245" s="725" t="s">
        <v>66</v>
      </c>
      <c r="D1245" s="710"/>
      <c r="E1245" s="735"/>
      <c r="F1245" s="736" t="s">
        <v>19</v>
      </c>
      <c r="G1245" s="727"/>
      <c r="H1245" s="704"/>
      <c r="I1245" s="705"/>
      <c r="J1245" s="738">
        <v>150</v>
      </c>
      <c r="K1245" s="709"/>
      <c r="L1245" s="757"/>
    </row>
    <row r="1246" spans="1:12" hidden="1">
      <c r="A1246" s="689" t="s">
        <v>378</v>
      </c>
      <c r="B1246" s="699" t="s">
        <v>379</v>
      </c>
      <c r="C1246" s="725" t="s">
        <v>121</v>
      </c>
      <c r="D1246" s="710"/>
      <c r="E1246" s="735"/>
      <c r="F1246" s="736" t="s">
        <v>19</v>
      </c>
      <c r="G1246" s="727"/>
      <c r="H1246" s="704"/>
      <c r="I1246" s="705"/>
      <c r="J1246" s="738">
        <v>200</v>
      </c>
      <c r="K1246" s="709"/>
      <c r="L1246" s="757"/>
    </row>
    <row r="1247" spans="1:12" hidden="1">
      <c r="A1247" s="689" t="s">
        <v>378</v>
      </c>
      <c r="B1247" s="722"/>
      <c r="C1247" s="739"/>
      <c r="D1247" s="783"/>
      <c r="E1247" s="692"/>
      <c r="F1247" s="693"/>
      <c r="G1247" s="723"/>
      <c r="H1247" s="695"/>
      <c r="I1247" s="691"/>
      <c r="J1247" s="690"/>
      <c r="K1247" s="709"/>
      <c r="L1247" s="757"/>
    </row>
    <row r="1248" spans="1:12" hidden="1">
      <c r="A1248" s="689" t="s">
        <v>378</v>
      </c>
      <c r="B1248" s="699" t="s">
        <v>380</v>
      </c>
      <c r="C1248" s="725" t="s">
        <v>57</v>
      </c>
      <c r="D1248" s="710"/>
      <c r="E1248" s="735"/>
      <c r="F1248" s="736" t="s">
        <v>19</v>
      </c>
      <c r="G1248" s="727"/>
      <c r="H1248" s="704"/>
      <c r="I1248" s="705"/>
      <c r="J1248" s="738">
        <f>J1241</f>
        <v>65</v>
      </c>
      <c r="K1248" s="709"/>
      <c r="L1248" s="757"/>
    </row>
    <row r="1249" spans="1:12" hidden="1">
      <c r="A1249" s="689" t="s">
        <v>378</v>
      </c>
      <c r="B1249" s="699" t="s">
        <v>380</v>
      </c>
      <c r="C1249" s="725" t="s">
        <v>347</v>
      </c>
      <c r="D1249" s="710"/>
      <c r="E1249" s="735"/>
      <c r="F1249" s="736" t="s">
        <v>19</v>
      </c>
      <c r="G1249" s="727"/>
      <c r="H1249" s="704"/>
      <c r="I1249" s="705"/>
      <c r="J1249" s="738">
        <f t="shared" ref="J1249:J1253" si="32">J1242</f>
        <v>80</v>
      </c>
      <c r="K1249" s="709"/>
      <c r="L1249" s="757"/>
    </row>
    <row r="1250" spans="1:12" hidden="1">
      <c r="A1250" s="689" t="s">
        <v>378</v>
      </c>
      <c r="B1250" s="699" t="s">
        <v>380</v>
      </c>
      <c r="C1250" s="725" t="s">
        <v>62</v>
      </c>
      <c r="D1250" s="844" t="s">
        <v>37</v>
      </c>
      <c r="E1250" s="735">
        <v>4</v>
      </c>
      <c r="F1250" s="736" t="s">
        <v>19</v>
      </c>
      <c r="G1250" s="727">
        <v>216.14</v>
      </c>
      <c r="H1250" s="704"/>
      <c r="I1250" s="705"/>
      <c r="J1250" s="738">
        <f t="shared" si="32"/>
        <v>120</v>
      </c>
      <c r="K1250" s="709"/>
      <c r="L1250" s="757"/>
    </row>
    <row r="1251" spans="1:12" hidden="1">
      <c r="A1251" s="689" t="s">
        <v>378</v>
      </c>
      <c r="B1251" s="699" t="s">
        <v>380</v>
      </c>
      <c r="C1251" s="725" t="s">
        <v>63</v>
      </c>
      <c r="D1251" s="710"/>
      <c r="E1251" s="735"/>
      <c r="F1251" s="736" t="s">
        <v>19</v>
      </c>
      <c r="G1251" s="727"/>
      <c r="H1251" s="704"/>
      <c r="I1251" s="705"/>
      <c r="J1251" s="738">
        <f t="shared" si="32"/>
        <v>140</v>
      </c>
      <c r="K1251" s="709"/>
      <c r="L1251" s="757"/>
    </row>
    <row r="1252" spans="1:12" hidden="1">
      <c r="A1252" s="689" t="s">
        <v>378</v>
      </c>
      <c r="B1252" s="699" t="s">
        <v>380</v>
      </c>
      <c r="C1252" s="725" t="s">
        <v>66</v>
      </c>
      <c r="D1252" s="710"/>
      <c r="E1252" s="735"/>
      <c r="F1252" s="736" t="s">
        <v>19</v>
      </c>
      <c r="G1252" s="727">
        <v>485.59</v>
      </c>
      <c r="H1252" s="704"/>
      <c r="I1252" s="705"/>
      <c r="J1252" s="738">
        <f t="shared" si="32"/>
        <v>150</v>
      </c>
      <c r="K1252" s="709"/>
      <c r="L1252" s="757"/>
    </row>
    <row r="1253" spans="1:12" hidden="1">
      <c r="A1253" s="689" t="s">
        <v>378</v>
      </c>
      <c r="B1253" s="699" t="s">
        <v>380</v>
      </c>
      <c r="C1253" s="725" t="s">
        <v>121</v>
      </c>
      <c r="D1253" s="710"/>
      <c r="E1253" s="735"/>
      <c r="F1253" s="736" t="s">
        <v>19</v>
      </c>
      <c r="G1253" s="727">
        <v>579</v>
      </c>
      <c r="H1253" s="704"/>
      <c r="I1253" s="705"/>
      <c r="J1253" s="738">
        <f t="shared" si="32"/>
        <v>200</v>
      </c>
      <c r="K1253" s="709"/>
      <c r="L1253" s="757"/>
    </row>
    <row r="1254" spans="1:12" hidden="1">
      <c r="A1254" s="689" t="s">
        <v>340</v>
      </c>
      <c r="B1254" s="739"/>
      <c r="C1254" s="739"/>
      <c r="D1254" s="739"/>
      <c r="E1254" s="692"/>
      <c r="F1254" s="693"/>
      <c r="G1254" s="723"/>
      <c r="H1254" s="695"/>
      <c r="I1254" s="691"/>
      <c r="J1254" s="690"/>
      <c r="K1254" s="709"/>
      <c r="L1254" s="757"/>
    </row>
    <row r="1255" spans="1:12" hidden="1">
      <c r="A1255" s="689" t="s">
        <v>381</v>
      </c>
      <c r="B1255" s="724" t="s">
        <v>382</v>
      </c>
      <c r="C1255" s="700" t="s">
        <v>47</v>
      </c>
      <c r="D1255" s="700" t="s">
        <v>21</v>
      </c>
      <c r="E1255" s="744">
        <v>0.5</v>
      </c>
      <c r="F1255" s="736" t="s">
        <v>19</v>
      </c>
      <c r="G1255" s="828">
        <f>ROUND('rura PVC, PP-HT'!L147,2)</f>
        <v>9.61</v>
      </c>
      <c r="H1255" s="704" t="s">
        <v>383</v>
      </c>
      <c r="I1255" s="705"/>
      <c r="J1255" s="738">
        <v>20</v>
      </c>
      <c r="K1255" s="709"/>
      <c r="L1255" s="757"/>
    </row>
    <row r="1256" spans="1:12" hidden="1">
      <c r="A1256" s="689" t="s">
        <v>381</v>
      </c>
      <c r="B1256" s="724" t="s">
        <v>382</v>
      </c>
      <c r="C1256" s="710" t="s">
        <v>49</v>
      </c>
      <c r="D1256" s="710" t="s">
        <v>23</v>
      </c>
      <c r="E1256" s="744">
        <v>0.75</v>
      </c>
      <c r="F1256" s="736" t="s">
        <v>19</v>
      </c>
      <c r="G1256" s="828">
        <f>ROUND('rura PVC, PP-HT'!L148,2)</f>
        <v>10.77</v>
      </c>
      <c r="H1256" s="704" t="s">
        <v>383</v>
      </c>
      <c r="I1256" s="705"/>
      <c r="J1256" s="738">
        <v>21</v>
      </c>
      <c r="K1256" s="709"/>
      <c r="L1256" s="757"/>
    </row>
    <row r="1257" spans="1:12" hidden="1">
      <c r="A1257" s="689" t="s">
        <v>381</v>
      </c>
      <c r="B1257" s="724" t="s">
        <v>382</v>
      </c>
      <c r="C1257" s="700" t="s">
        <v>51</v>
      </c>
      <c r="D1257" s="700" t="s">
        <v>25</v>
      </c>
      <c r="E1257" s="744">
        <v>1</v>
      </c>
      <c r="F1257" s="736" t="s">
        <v>19</v>
      </c>
      <c r="G1257" s="828">
        <f>ROUND('rura PVC, PP-HT'!L149,2)</f>
        <v>14.4</v>
      </c>
      <c r="H1257" s="704" t="s">
        <v>383</v>
      </c>
      <c r="I1257" s="705"/>
      <c r="J1257" s="738">
        <v>23</v>
      </c>
      <c r="K1257" s="709"/>
      <c r="L1257" s="757"/>
    </row>
    <row r="1258" spans="1:12" hidden="1">
      <c r="A1258" s="689" t="s">
        <v>381</v>
      </c>
      <c r="B1258" s="724" t="s">
        <v>382</v>
      </c>
      <c r="C1258" s="700" t="s">
        <v>53</v>
      </c>
      <c r="D1258" s="700" t="s">
        <v>27</v>
      </c>
      <c r="E1258" s="744">
        <v>1.25</v>
      </c>
      <c r="F1258" s="736" t="s">
        <v>19</v>
      </c>
      <c r="G1258" s="828">
        <f>ROUND('rura PVC, PP-HT'!L150,2)</f>
        <v>20.85</v>
      </c>
      <c r="H1258" s="704" t="s">
        <v>383</v>
      </c>
      <c r="I1258" s="705"/>
      <c r="J1258" s="738">
        <v>26</v>
      </c>
      <c r="K1258" s="709"/>
      <c r="L1258" s="757"/>
    </row>
    <row r="1259" spans="1:12" hidden="1">
      <c r="A1259" s="689" t="s">
        <v>381</v>
      </c>
      <c r="B1259" s="724" t="s">
        <v>382</v>
      </c>
      <c r="C1259" s="700" t="s">
        <v>55</v>
      </c>
      <c r="D1259" s="700" t="s">
        <v>29</v>
      </c>
      <c r="E1259" s="744">
        <v>1.5</v>
      </c>
      <c r="F1259" s="736" t="s">
        <v>19</v>
      </c>
      <c r="G1259" s="828">
        <f>ROUND('rura PVC, PP-HT'!L151,2)</f>
        <v>24.05</v>
      </c>
      <c r="H1259" s="704" t="s">
        <v>383</v>
      </c>
      <c r="I1259" s="705"/>
      <c r="J1259" s="738">
        <v>33</v>
      </c>
      <c r="K1259" s="709"/>
      <c r="L1259" s="757"/>
    </row>
    <row r="1260" spans="1:12" hidden="1">
      <c r="A1260" s="689" t="s">
        <v>381</v>
      </c>
      <c r="B1260" s="724" t="s">
        <v>382</v>
      </c>
      <c r="C1260" s="700" t="s">
        <v>57</v>
      </c>
      <c r="D1260" s="846" t="s">
        <v>352</v>
      </c>
      <c r="E1260" s="735">
        <v>2</v>
      </c>
      <c r="F1260" s="736" t="s">
        <v>19</v>
      </c>
      <c r="G1260" s="828">
        <f>ROUND('rura PVC, PP-HT'!L152,2)</f>
        <v>33.630000000000003</v>
      </c>
      <c r="H1260" s="704" t="s">
        <v>383</v>
      </c>
      <c r="I1260" s="705"/>
      <c r="J1260" s="738">
        <v>40</v>
      </c>
      <c r="K1260" s="709"/>
      <c r="L1260" s="757"/>
    </row>
    <row r="1261" spans="1:12" hidden="1">
      <c r="A1261" s="689" t="s">
        <v>381</v>
      </c>
      <c r="B1261" s="724" t="s">
        <v>382</v>
      </c>
      <c r="C1261" s="700" t="s">
        <v>59</v>
      </c>
      <c r="D1261" s="700" t="s">
        <v>33</v>
      </c>
      <c r="E1261" s="845" t="s">
        <v>34</v>
      </c>
      <c r="F1261" s="736" t="s">
        <v>19</v>
      </c>
      <c r="G1261" s="828">
        <f>ROUND('rura PVC, PP-HT'!L153,2)</f>
        <v>86.36</v>
      </c>
      <c r="H1261" s="704" t="s">
        <v>383</v>
      </c>
      <c r="I1261" s="705"/>
      <c r="J1261" s="738">
        <v>45</v>
      </c>
      <c r="K1261" s="709"/>
      <c r="L1261" s="757"/>
    </row>
    <row r="1262" spans="1:12" hidden="1">
      <c r="A1262" s="689" t="s">
        <v>381</v>
      </c>
      <c r="B1262" s="724" t="s">
        <v>382</v>
      </c>
      <c r="C1262" s="700" t="s">
        <v>60</v>
      </c>
      <c r="D1262" s="700" t="s">
        <v>35</v>
      </c>
      <c r="E1262" s="735">
        <v>3</v>
      </c>
      <c r="F1262" s="736" t="s">
        <v>19</v>
      </c>
      <c r="G1262" s="828">
        <f>ROUND('rura PVC, PP-HT'!L154,2)</f>
        <v>136.11000000000001</v>
      </c>
      <c r="H1262" s="704" t="s">
        <v>383</v>
      </c>
      <c r="I1262" s="705"/>
      <c r="J1262" s="738">
        <v>50</v>
      </c>
      <c r="K1262" s="709"/>
      <c r="L1262" s="757"/>
    </row>
    <row r="1263" spans="1:12" hidden="1">
      <c r="A1263" s="689"/>
      <c r="B1263" s="691"/>
      <c r="C1263" s="691"/>
      <c r="D1263" s="691"/>
      <c r="E1263" s="692"/>
      <c r="F1263" s="693"/>
      <c r="G1263" s="829"/>
      <c r="H1263" s="695"/>
      <c r="I1263" s="691"/>
      <c r="J1263" s="690"/>
      <c r="K1263" s="709"/>
      <c r="L1263" s="757"/>
    </row>
    <row r="1264" spans="1:12">
      <c r="A1264" s="689" t="s">
        <v>384</v>
      </c>
      <c r="B1264" s="724" t="s">
        <v>385</v>
      </c>
      <c r="C1264" s="734"/>
      <c r="D1264" s="705" t="s">
        <v>17</v>
      </c>
      <c r="E1264" s="735" t="s">
        <v>386</v>
      </c>
      <c r="F1264" s="736" t="s">
        <v>19</v>
      </c>
      <c r="G1264" s="828">
        <f>ROUND('r.pex'!M16,2)</f>
        <v>30.53</v>
      </c>
      <c r="H1264" s="704" t="s">
        <v>14</v>
      </c>
      <c r="I1264" s="705"/>
      <c r="J1264" s="738">
        <v>31</v>
      </c>
      <c r="K1264" s="709"/>
      <c r="L1264" s="757"/>
    </row>
    <row r="1265" spans="1:12">
      <c r="A1265" s="689" t="s">
        <v>384</v>
      </c>
      <c r="B1265" s="724" t="s">
        <v>385</v>
      </c>
      <c r="C1265" s="734"/>
      <c r="D1265" s="705" t="s">
        <v>21</v>
      </c>
      <c r="E1265" s="735" t="s">
        <v>387</v>
      </c>
      <c r="F1265" s="736" t="s">
        <v>19</v>
      </c>
      <c r="G1265" s="828">
        <f>ROUND('r.pex'!M17,2)</f>
        <v>38.549999999999997</v>
      </c>
      <c r="H1265" s="704" t="s">
        <v>14</v>
      </c>
      <c r="I1265" s="705"/>
      <c r="J1265" s="738">
        <v>32</v>
      </c>
      <c r="K1265" s="709"/>
      <c r="L1265" s="757"/>
    </row>
    <row r="1266" spans="1:12">
      <c r="A1266" s="689" t="s">
        <v>384</v>
      </c>
      <c r="B1266" s="724" t="s">
        <v>385</v>
      </c>
      <c r="C1266" s="734"/>
      <c r="D1266" s="705" t="s">
        <v>23</v>
      </c>
      <c r="E1266" s="735" t="s">
        <v>388</v>
      </c>
      <c r="F1266" s="736" t="s">
        <v>19</v>
      </c>
      <c r="G1266" s="828">
        <f>ROUND('r.pex'!M18,2)</f>
        <v>59.55</v>
      </c>
      <c r="H1266" s="704" t="s">
        <v>14</v>
      </c>
      <c r="I1266" s="705"/>
      <c r="J1266" s="738">
        <v>36</v>
      </c>
      <c r="K1266" s="709"/>
      <c r="L1266" s="757"/>
    </row>
    <row r="1267" spans="1:12">
      <c r="A1267" s="689" t="s">
        <v>384</v>
      </c>
      <c r="B1267" s="724" t="s">
        <v>385</v>
      </c>
      <c r="C1267" s="734"/>
      <c r="D1267" s="705" t="s">
        <v>25</v>
      </c>
      <c r="E1267" s="735" t="s">
        <v>389</v>
      </c>
      <c r="F1267" s="736" t="s">
        <v>19</v>
      </c>
      <c r="G1267" s="828">
        <f>ROUND('r.pex'!M19,2)</f>
        <v>79.150000000000006</v>
      </c>
      <c r="H1267" s="704" t="s">
        <v>14</v>
      </c>
      <c r="I1267" s="705"/>
      <c r="J1267" s="738">
        <v>43</v>
      </c>
      <c r="K1267" s="709"/>
      <c r="L1267" s="757"/>
    </row>
    <row r="1268" spans="1:12">
      <c r="A1268" s="689" t="s">
        <v>384</v>
      </c>
      <c r="B1268" s="724" t="s">
        <v>385</v>
      </c>
      <c r="C1268" s="734"/>
      <c r="D1268" s="705" t="s">
        <v>27</v>
      </c>
      <c r="E1268" s="735"/>
      <c r="F1268" s="736" t="s">
        <v>19</v>
      </c>
      <c r="G1268" s="828">
        <f>ROUND('r.pex'!M20,2)</f>
        <v>129.54</v>
      </c>
      <c r="H1268" s="704" t="s">
        <v>14</v>
      </c>
      <c r="I1268" s="705"/>
      <c r="J1268" s="738">
        <v>57</v>
      </c>
      <c r="K1268" s="709"/>
      <c r="L1268" s="757"/>
    </row>
    <row r="1269" spans="1:12">
      <c r="A1269" s="689" t="s">
        <v>384</v>
      </c>
      <c r="B1269" s="724" t="s">
        <v>385</v>
      </c>
      <c r="C1269" s="734"/>
      <c r="D1269" s="705" t="s">
        <v>29</v>
      </c>
      <c r="E1269" s="735"/>
      <c r="F1269" s="736" t="s">
        <v>19</v>
      </c>
      <c r="G1269" s="828">
        <f>ROUND('r.pex'!M21,2)</f>
        <v>211.48</v>
      </c>
      <c r="H1269" s="704" t="s">
        <v>14</v>
      </c>
      <c r="I1269" s="705"/>
      <c r="J1269" s="738">
        <v>64</v>
      </c>
      <c r="K1269" s="709"/>
      <c r="L1269" s="757"/>
    </row>
    <row r="1270" spans="1:12">
      <c r="A1270" s="689" t="s">
        <v>384</v>
      </c>
      <c r="B1270" s="724" t="s">
        <v>385</v>
      </c>
      <c r="C1270" s="734"/>
      <c r="D1270" s="705" t="s">
        <v>376</v>
      </c>
      <c r="E1270" s="735"/>
      <c r="F1270" s="736" t="s">
        <v>19</v>
      </c>
      <c r="G1270" s="828">
        <f>ROUND('r.pex'!M22,2)</f>
        <v>349.01</v>
      </c>
      <c r="H1270" s="704" t="s">
        <v>14</v>
      </c>
      <c r="I1270" s="705"/>
      <c r="J1270" s="738">
        <v>68</v>
      </c>
      <c r="K1270" s="709"/>
      <c r="L1270" s="757"/>
    </row>
    <row r="1271" spans="1:12">
      <c r="A1271" s="689" t="s">
        <v>384</v>
      </c>
      <c r="B1271" s="724" t="s">
        <v>385</v>
      </c>
      <c r="C1271" s="734"/>
      <c r="D1271" s="705" t="s">
        <v>357</v>
      </c>
      <c r="E1271" s="735"/>
      <c r="F1271" s="736" t="s">
        <v>19</v>
      </c>
      <c r="G1271" s="828">
        <f>ROUND('r.pex'!M23,2)</f>
        <v>0</v>
      </c>
      <c r="H1271" s="704" t="s">
        <v>14</v>
      </c>
      <c r="I1271" s="705"/>
      <c r="J1271" s="738">
        <v>72</v>
      </c>
      <c r="K1271" s="709"/>
      <c r="L1271" s="757"/>
    </row>
    <row r="1272" spans="1:12">
      <c r="A1272" s="689" t="s">
        <v>384</v>
      </c>
      <c r="B1272" s="724" t="s">
        <v>385</v>
      </c>
      <c r="C1272" s="700"/>
      <c r="D1272" s="705" t="s">
        <v>377</v>
      </c>
      <c r="E1272" s="735"/>
      <c r="F1272" s="736" t="s">
        <v>19</v>
      </c>
      <c r="G1272" s="828">
        <f>ROUND('r.pex'!M24,2)</f>
        <v>0</v>
      </c>
      <c r="H1272" s="704" t="s">
        <v>14</v>
      </c>
      <c r="I1272" s="705"/>
      <c r="J1272" s="738">
        <v>74</v>
      </c>
      <c r="K1272" s="709"/>
      <c r="L1272" s="757"/>
    </row>
    <row r="1273" spans="1:12">
      <c r="A1273" s="689" t="s">
        <v>384</v>
      </c>
      <c r="B1273" s="724" t="s">
        <v>385</v>
      </c>
      <c r="C1273" s="700"/>
      <c r="D1273" s="705" t="s">
        <v>326</v>
      </c>
      <c r="E1273" s="735"/>
      <c r="F1273" s="736" t="s">
        <v>19</v>
      </c>
      <c r="G1273" s="828">
        <f>ROUND('r.pex'!M25,2)</f>
        <v>0</v>
      </c>
      <c r="H1273" s="704" t="s">
        <v>14</v>
      </c>
      <c r="I1273" s="705"/>
      <c r="J1273" s="738">
        <v>79</v>
      </c>
      <c r="K1273" s="709"/>
      <c r="L1273" s="757"/>
    </row>
    <row r="1274" spans="1:12" hidden="1">
      <c r="A1274" s="689" t="s">
        <v>384</v>
      </c>
      <c r="B1274" s="691"/>
      <c r="C1274" s="691"/>
      <c r="D1274" s="691"/>
      <c r="E1274" s="692"/>
      <c r="F1274" s="693"/>
      <c r="G1274" s="829"/>
      <c r="H1274" s="695"/>
      <c r="I1274" s="691"/>
      <c r="J1274" s="690"/>
      <c r="K1274" s="709"/>
      <c r="L1274" s="757"/>
    </row>
    <row r="1275" spans="1:12">
      <c r="A1275" s="689" t="s">
        <v>384</v>
      </c>
      <c r="B1275" s="724" t="s">
        <v>385</v>
      </c>
      <c r="C1275" s="734"/>
      <c r="D1275" s="705" t="s">
        <v>17</v>
      </c>
      <c r="E1275" s="735" t="s">
        <v>386</v>
      </c>
      <c r="F1275" s="736" t="s">
        <v>19</v>
      </c>
      <c r="G1275" s="828">
        <f>ROUND('r.pex'!M33,2)</f>
        <v>29.8</v>
      </c>
      <c r="H1275" s="704" t="s">
        <v>42</v>
      </c>
      <c r="I1275" s="705"/>
      <c r="J1275" s="738">
        <f>J1264</f>
        <v>31</v>
      </c>
      <c r="K1275" s="709"/>
      <c r="L1275" s="757"/>
    </row>
    <row r="1276" spans="1:12">
      <c r="A1276" s="689" t="s">
        <v>384</v>
      </c>
      <c r="B1276" s="724" t="s">
        <v>385</v>
      </c>
      <c r="C1276" s="734"/>
      <c r="D1276" s="705" t="s">
        <v>21</v>
      </c>
      <c r="E1276" s="735" t="s">
        <v>387</v>
      </c>
      <c r="F1276" s="736" t="s">
        <v>19</v>
      </c>
      <c r="G1276" s="828">
        <f>ROUND('r.pex'!M34,2)</f>
        <v>41.33</v>
      </c>
      <c r="H1276" s="704" t="s">
        <v>42</v>
      </c>
      <c r="I1276" s="705"/>
      <c r="J1276" s="738">
        <f t="shared" ref="J1276:J1284" si="33">J1265</f>
        <v>32</v>
      </c>
      <c r="K1276" s="709"/>
      <c r="L1276" s="757"/>
    </row>
    <row r="1277" spans="1:12">
      <c r="A1277" s="689" t="s">
        <v>384</v>
      </c>
      <c r="B1277" s="724" t="s">
        <v>385</v>
      </c>
      <c r="C1277" s="734"/>
      <c r="D1277" s="705" t="s">
        <v>23</v>
      </c>
      <c r="E1277" s="735" t="s">
        <v>388</v>
      </c>
      <c r="F1277" s="736" t="s">
        <v>19</v>
      </c>
      <c r="G1277" s="828">
        <f>ROUND('r.pex'!M35,2)</f>
        <v>60.52</v>
      </c>
      <c r="H1277" s="704" t="s">
        <v>42</v>
      </c>
      <c r="I1277" s="705"/>
      <c r="J1277" s="738">
        <f t="shared" si="33"/>
        <v>36</v>
      </c>
      <c r="K1277" s="709"/>
      <c r="L1277" s="757"/>
    </row>
    <row r="1278" spans="1:12">
      <c r="A1278" s="689" t="s">
        <v>384</v>
      </c>
      <c r="B1278" s="724" t="s">
        <v>385</v>
      </c>
      <c r="C1278" s="734"/>
      <c r="D1278" s="705" t="s">
        <v>25</v>
      </c>
      <c r="E1278" s="735" t="s">
        <v>389</v>
      </c>
      <c r="F1278" s="736" t="s">
        <v>19</v>
      </c>
      <c r="G1278" s="828">
        <f>ROUND('r.pex'!M36,2)</f>
        <v>92.78</v>
      </c>
      <c r="H1278" s="704" t="s">
        <v>42</v>
      </c>
      <c r="I1278" s="705"/>
      <c r="J1278" s="738">
        <f t="shared" si="33"/>
        <v>43</v>
      </c>
      <c r="K1278" s="709"/>
      <c r="L1278" s="757"/>
    </row>
    <row r="1279" spans="1:12">
      <c r="A1279" s="689" t="s">
        <v>384</v>
      </c>
      <c r="B1279" s="724" t="s">
        <v>385</v>
      </c>
      <c r="C1279" s="734"/>
      <c r="D1279" s="705" t="s">
        <v>27</v>
      </c>
      <c r="E1279" s="735"/>
      <c r="F1279" s="736" t="s">
        <v>19</v>
      </c>
      <c r="G1279" s="828">
        <f>ROUND('r.pex'!M37,2)</f>
        <v>171.67</v>
      </c>
      <c r="H1279" s="704" t="s">
        <v>42</v>
      </c>
      <c r="I1279" s="705"/>
      <c r="J1279" s="738">
        <f t="shared" si="33"/>
        <v>57</v>
      </c>
      <c r="K1279" s="709"/>
      <c r="L1279" s="757"/>
    </row>
    <row r="1280" spans="1:12">
      <c r="A1280" s="689" t="s">
        <v>384</v>
      </c>
      <c r="B1280" s="724" t="s">
        <v>385</v>
      </c>
      <c r="C1280" s="734"/>
      <c r="D1280" s="705" t="s">
        <v>29</v>
      </c>
      <c r="E1280" s="735"/>
      <c r="F1280" s="736" t="s">
        <v>19</v>
      </c>
      <c r="G1280" s="828">
        <f>ROUND('r.pex'!M38,2)</f>
        <v>316.27</v>
      </c>
      <c r="H1280" s="704" t="s">
        <v>42</v>
      </c>
      <c r="I1280" s="705"/>
      <c r="J1280" s="738">
        <f t="shared" si="33"/>
        <v>64</v>
      </c>
      <c r="K1280" s="709"/>
      <c r="L1280" s="757"/>
    </row>
    <row r="1281" spans="1:12">
      <c r="A1281" s="689" t="s">
        <v>384</v>
      </c>
      <c r="B1281" s="724" t="s">
        <v>385</v>
      </c>
      <c r="C1281" s="734"/>
      <c r="D1281" s="705" t="s">
        <v>376</v>
      </c>
      <c r="E1281" s="735"/>
      <c r="F1281" s="736" t="s">
        <v>19</v>
      </c>
      <c r="G1281" s="828">
        <f>ROUND('r.pex'!M39,2)</f>
        <v>402.69</v>
      </c>
      <c r="H1281" s="704" t="s">
        <v>42</v>
      </c>
      <c r="I1281" s="705"/>
      <c r="J1281" s="738">
        <f t="shared" si="33"/>
        <v>68</v>
      </c>
      <c r="K1281" s="709"/>
      <c r="L1281" s="757"/>
    </row>
    <row r="1282" spans="1:12">
      <c r="A1282" s="689" t="s">
        <v>384</v>
      </c>
      <c r="B1282" s="724" t="s">
        <v>385</v>
      </c>
      <c r="C1282" s="734"/>
      <c r="D1282" s="705" t="s">
        <v>357</v>
      </c>
      <c r="E1282" s="735"/>
      <c r="F1282" s="736" t="s">
        <v>19</v>
      </c>
      <c r="G1282" s="828">
        <f>ROUND('r.pex'!M40,2)</f>
        <v>528.35</v>
      </c>
      <c r="H1282" s="704" t="s">
        <v>42</v>
      </c>
      <c r="I1282" s="705"/>
      <c r="J1282" s="738">
        <f t="shared" si="33"/>
        <v>72</v>
      </c>
      <c r="K1282" s="709"/>
      <c r="L1282" s="757"/>
    </row>
    <row r="1283" spans="1:12">
      <c r="A1283" s="689" t="s">
        <v>384</v>
      </c>
      <c r="B1283" s="724" t="s">
        <v>385</v>
      </c>
      <c r="C1283" s="700"/>
      <c r="D1283" s="705" t="s">
        <v>377</v>
      </c>
      <c r="E1283" s="735"/>
      <c r="F1283" s="736" t="s">
        <v>19</v>
      </c>
      <c r="G1283" s="828">
        <f>ROUND('r.pex'!M41,2)</f>
        <v>0</v>
      </c>
      <c r="H1283" s="704" t="s">
        <v>42</v>
      </c>
      <c r="I1283" s="705"/>
      <c r="J1283" s="738">
        <f t="shared" si="33"/>
        <v>74</v>
      </c>
      <c r="K1283" s="709"/>
      <c r="L1283" s="757"/>
    </row>
    <row r="1284" spans="1:12">
      <c r="A1284" s="689" t="s">
        <v>384</v>
      </c>
      <c r="B1284" s="724" t="s">
        <v>385</v>
      </c>
      <c r="C1284" s="700"/>
      <c r="D1284" s="705" t="s">
        <v>326</v>
      </c>
      <c r="E1284" s="735"/>
      <c r="F1284" s="736" t="s">
        <v>19</v>
      </c>
      <c r="G1284" s="828">
        <f>ROUND('r.pex'!M42,2)</f>
        <v>0</v>
      </c>
      <c r="H1284" s="704" t="s">
        <v>42</v>
      </c>
      <c r="I1284" s="705"/>
      <c r="J1284" s="738">
        <f t="shared" si="33"/>
        <v>79</v>
      </c>
      <c r="K1284" s="709"/>
      <c r="L1284" s="757"/>
    </row>
    <row r="1285" spans="1:12" hidden="1">
      <c r="A1285" s="689" t="s">
        <v>384</v>
      </c>
      <c r="B1285" s="691"/>
      <c r="C1285" s="691"/>
      <c r="D1285" s="691"/>
      <c r="E1285" s="692"/>
      <c r="F1285" s="693"/>
      <c r="G1285" s="829"/>
      <c r="H1285" s="695"/>
      <c r="I1285" s="691"/>
      <c r="J1285" s="690"/>
      <c r="K1285" s="709"/>
      <c r="L1285" s="757"/>
    </row>
    <row r="1286" spans="1:12">
      <c r="A1286" s="689" t="s">
        <v>384</v>
      </c>
      <c r="B1286" s="724" t="s">
        <v>385</v>
      </c>
      <c r="C1286" s="734"/>
      <c r="D1286" s="705" t="s">
        <v>17</v>
      </c>
      <c r="E1286" s="735" t="s">
        <v>386</v>
      </c>
      <c r="F1286" s="736" t="s">
        <v>19</v>
      </c>
      <c r="G1286" s="828">
        <f>ROUND('r.pex'!M46,2)</f>
        <v>24.12</v>
      </c>
      <c r="H1286" s="704" t="s">
        <v>390</v>
      </c>
      <c r="I1286" s="705"/>
      <c r="J1286" s="738">
        <f>J1275</f>
        <v>31</v>
      </c>
      <c r="K1286" s="709"/>
      <c r="L1286" s="757"/>
    </row>
    <row r="1287" spans="1:12">
      <c r="A1287" s="689" t="s">
        <v>384</v>
      </c>
      <c r="B1287" s="724" t="s">
        <v>385</v>
      </c>
      <c r="C1287" s="734"/>
      <c r="D1287" s="705" t="s">
        <v>21</v>
      </c>
      <c r="E1287" s="735" t="s">
        <v>387</v>
      </c>
      <c r="F1287" s="736" t="s">
        <v>19</v>
      </c>
      <c r="G1287" s="828">
        <f>ROUND('r.pex'!M47,2)</f>
        <v>32.6</v>
      </c>
      <c r="H1287" s="704" t="s">
        <v>390</v>
      </c>
      <c r="I1287" s="705"/>
      <c r="J1287" s="738">
        <f t="shared" ref="J1287:J1295" si="34">J1276</f>
        <v>32</v>
      </c>
      <c r="K1287" s="709"/>
      <c r="L1287" s="757"/>
    </row>
    <row r="1288" spans="1:12">
      <c r="A1288" s="689" t="s">
        <v>384</v>
      </c>
      <c r="B1288" s="724" t="s">
        <v>385</v>
      </c>
      <c r="C1288" s="734"/>
      <c r="D1288" s="705" t="s">
        <v>23</v>
      </c>
      <c r="E1288" s="735" t="s">
        <v>388</v>
      </c>
      <c r="F1288" s="736" t="s">
        <v>19</v>
      </c>
      <c r="G1288" s="828">
        <f>ROUND('r.pex'!M48,2)</f>
        <v>47.12</v>
      </c>
      <c r="H1288" s="704" t="s">
        <v>390</v>
      </c>
      <c r="I1288" s="705"/>
      <c r="J1288" s="738">
        <f t="shared" si="34"/>
        <v>36</v>
      </c>
      <c r="K1288" s="709"/>
      <c r="L1288" s="757"/>
    </row>
    <row r="1289" spans="1:12">
      <c r="A1289" s="689" t="s">
        <v>384</v>
      </c>
      <c r="B1289" s="724" t="s">
        <v>385</v>
      </c>
      <c r="C1289" s="734"/>
      <c r="D1289" s="705" t="s">
        <v>25</v>
      </c>
      <c r="E1289" s="735" t="s">
        <v>389</v>
      </c>
      <c r="F1289" s="736" t="s">
        <v>19</v>
      </c>
      <c r="G1289" s="828">
        <f>ROUND('r.pex'!M49,2)</f>
        <v>68.27</v>
      </c>
      <c r="H1289" s="704" t="s">
        <v>390</v>
      </c>
      <c r="I1289" s="705"/>
      <c r="J1289" s="738">
        <f t="shared" si="34"/>
        <v>43</v>
      </c>
      <c r="K1289" s="709"/>
      <c r="L1289" s="757"/>
    </row>
    <row r="1290" spans="1:12">
      <c r="A1290" s="689" t="s">
        <v>384</v>
      </c>
      <c r="B1290" s="724" t="s">
        <v>385</v>
      </c>
      <c r="C1290" s="734"/>
      <c r="D1290" s="705" t="s">
        <v>27</v>
      </c>
      <c r="E1290" s="735"/>
      <c r="F1290" s="736" t="s">
        <v>19</v>
      </c>
      <c r="G1290" s="828">
        <f>ROUND('r.pex'!M50,2)</f>
        <v>98.48</v>
      </c>
      <c r="H1290" s="704" t="s">
        <v>390</v>
      </c>
      <c r="I1290" s="705"/>
      <c r="J1290" s="738">
        <f t="shared" si="34"/>
        <v>57</v>
      </c>
      <c r="K1290" s="709"/>
      <c r="L1290" s="757"/>
    </row>
    <row r="1291" spans="1:12">
      <c r="A1291" s="689" t="s">
        <v>384</v>
      </c>
      <c r="B1291" s="724" t="s">
        <v>385</v>
      </c>
      <c r="C1291" s="734"/>
      <c r="D1291" s="705" t="s">
        <v>29</v>
      </c>
      <c r="E1291" s="735"/>
      <c r="F1291" s="736" t="s">
        <v>19</v>
      </c>
      <c r="G1291" s="828">
        <f>ROUND('r.pex'!M51,2)</f>
        <v>136.56</v>
      </c>
      <c r="H1291" s="704" t="s">
        <v>390</v>
      </c>
      <c r="I1291" s="705"/>
      <c r="J1291" s="738">
        <f t="shared" si="34"/>
        <v>64</v>
      </c>
      <c r="K1291" s="709"/>
      <c r="L1291" s="757"/>
    </row>
    <row r="1292" spans="1:12">
      <c r="A1292" s="689" t="s">
        <v>384</v>
      </c>
      <c r="B1292" s="724" t="s">
        <v>385</v>
      </c>
      <c r="C1292" s="734"/>
      <c r="D1292" s="705" t="s">
        <v>376</v>
      </c>
      <c r="E1292" s="735"/>
      <c r="F1292" s="736" t="s">
        <v>19</v>
      </c>
      <c r="G1292" s="828">
        <f>ROUND('r.pex'!M52,2)</f>
        <v>247.71</v>
      </c>
      <c r="H1292" s="704" t="s">
        <v>390</v>
      </c>
      <c r="I1292" s="705"/>
      <c r="J1292" s="738">
        <f t="shared" si="34"/>
        <v>68</v>
      </c>
      <c r="K1292" s="709"/>
      <c r="L1292" s="757"/>
    </row>
    <row r="1293" spans="1:12">
      <c r="A1293" s="689" t="s">
        <v>384</v>
      </c>
      <c r="B1293" s="724" t="s">
        <v>385</v>
      </c>
      <c r="C1293" s="734"/>
      <c r="D1293" s="705" t="s">
        <v>357</v>
      </c>
      <c r="E1293" s="735"/>
      <c r="F1293" s="736" t="s">
        <v>19</v>
      </c>
      <c r="G1293" s="828">
        <f>ROUND('r.pex'!M53,2)</f>
        <v>378.72</v>
      </c>
      <c r="H1293" s="704" t="s">
        <v>390</v>
      </c>
      <c r="I1293" s="705"/>
      <c r="J1293" s="738">
        <f t="shared" si="34"/>
        <v>72</v>
      </c>
      <c r="K1293" s="709"/>
      <c r="L1293" s="757"/>
    </row>
    <row r="1294" spans="1:12">
      <c r="A1294" s="689" t="s">
        <v>384</v>
      </c>
      <c r="B1294" s="724" t="s">
        <v>385</v>
      </c>
      <c r="C1294" s="700"/>
      <c r="D1294" s="705" t="s">
        <v>377</v>
      </c>
      <c r="E1294" s="735"/>
      <c r="F1294" s="736" t="s">
        <v>19</v>
      </c>
      <c r="G1294" s="828">
        <f>ROUND('r.pex'!M54,2)</f>
        <v>584.42999999999995</v>
      </c>
      <c r="H1294" s="704" t="s">
        <v>390</v>
      </c>
      <c r="I1294" s="705"/>
      <c r="J1294" s="738">
        <f t="shared" si="34"/>
        <v>74</v>
      </c>
      <c r="K1294" s="709"/>
      <c r="L1294" s="757"/>
    </row>
    <row r="1295" spans="1:12">
      <c r="A1295" s="689" t="s">
        <v>384</v>
      </c>
      <c r="B1295" s="724" t="s">
        <v>385</v>
      </c>
      <c r="C1295" s="700"/>
      <c r="D1295" s="705" t="s">
        <v>326</v>
      </c>
      <c r="E1295" s="735"/>
      <c r="F1295" s="736" t="s">
        <v>19</v>
      </c>
      <c r="G1295" s="828">
        <f>ROUND('r.pex'!M55,2)</f>
        <v>687.34</v>
      </c>
      <c r="H1295" s="704" t="s">
        <v>390</v>
      </c>
      <c r="I1295" s="705"/>
      <c r="J1295" s="738">
        <f t="shared" si="34"/>
        <v>79</v>
      </c>
      <c r="K1295" s="709"/>
      <c r="L1295" s="757"/>
    </row>
    <row r="1296" spans="1:12" hidden="1">
      <c r="A1296" s="689" t="s">
        <v>384</v>
      </c>
      <c r="B1296" s="691"/>
      <c r="C1296" s="691"/>
      <c r="D1296" s="691"/>
      <c r="E1296" s="692"/>
      <c r="F1296" s="693"/>
      <c r="G1296" s="829"/>
      <c r="H1296" s="695"/>
      <c r="I1296" s="691"/>
      <c r="J1296" s="690"/>
      <c r="K1296" s="709"/>
      <c r="L1296" s="757"/>
    </row>
    <row r="1297" spans="1:12" ht="20.25">
      <c r="A1297" s="689" t="s">
        <v>384</v>
      </c>
      <c r="B1297" s="724" t="s">
        <v>391</v>
      </c>
      <c r="C1297" s="734"/>
      <c r="D1297" s="705" t="s">
        <v>17</v>
      </c>
      <c r="E1297" s="735" t="s">
        <v>386</v>
      </c>
      <c r="F1297" s="736" t="s">
        <v>19</v>
      </c>
      <c r="G1297" s="828">
        <f>ROUND('r.pex'!M60,2)</f>
        <v>13.54</v>
      </c>
      <c r="H1297" s="704"/>
      <c r="I1297" s="705"/>
      <c r="J1297" s="752">
        <v>20</v>
      </c>
      <c r="K1297" s="784" t="s">
        <v>392</v>
      </c>
      <c r="L1297" s="757"/>
    </row>
    <row r="1298" spans="1:12" ht="20.25">
      <c r="A1298" s="689" t="s">
        <v>384</v>
      </c>
      <c r="B1298" s="724" t="s">
        <v>391</v>
      </c>
      <c r="C1298" s="734"/>
      <c r="D1298" s="734" t="s">
        <v>21</v>
      </c>
      <c r="E1298" s="735" t="s">
        <v>387</v>
      </c>
      <c r="F1298" s="736" t="s">
        <v>19</v>
      </c>
      <c r="G1298" s="828">
        <f>ROUND('r.pex'!M61,2)</f>
        <v>15.13</v>
      </c>
      <c r="H1298" s="704"/>
      <c r="I1298" s="705"/>
      <c r="J1298" s="752">
        <v>24</v>
      </c>
      <c r="K1298" s="784" t="s">
        <v>392</v>
      </c>
      <c r="L1298" s="757"/>
    </row>
    <row r="1299" spans="1:12" ht="20.25">
      <c r="A1299" s="689" t="s">
        <v>384</v>
      </c>
      <c r="B1299" s="724" t="s">
        <v>391</v>
      </c>
      <c r="C1299" s="734"/>
      <c r="D1299" s="734" t="s">
        <v>23</v>
      </c>
      <c r="E1299" s="735" t="s">
        <v>388</v>
      </c>
      <c r="F1299" s="736" t="s">
        <v>19</v>
      </c>
      <c r="G1299" s="828">
        <f>ROUND('r.pex'!M62,2)</f>
        <v>27.5</v>
      </c>
      <c r="H1299" s="704"/>
      <c r="I1299" s="705"/>
      <c r="J1299" s="752">
        <v>28</v>
      </c>
      <c r="K1299" s="784" t="s">
        <v>392</v>
      </c>
      <c r="L1299" s="757"/>
    </row>
    <row r="1300" spans="1:12" ht="20.25">
      <c r="A1300" s="689" t="s">
        <v>384</v>
      </c>
      <c r="B1300" s="724" t="s">
        <v>391</v>
      </c>
      <c r="C1300" s="734"/>
      <c r="D1300" s="734" t="s">
        <v>25</v>
      </c>
      <c r="E1300" s="735" t="s">
        <v>389</v>
      </c>
      <c r="F1300" s="736" t="s">
        <v>19</v>
      </c>
      <c r="G1300" s="828">
        <f>ROUND('r.pex'!M63,2)</f>
        <v>34.33</v>
      </c>
      <c r="H1300" s="704"/>
      <c r="I1300" s="705"/>
      <c r="J1300" s="752">
        <v>34</v>
      </c>
      <c r="K1300" s="784" t="s">
        <v>392</v>
      </c>
      <c r="L1300" s="757"/>
    </row>
    <row r="1301" spans="1:12" hidden="1">
      <c r="A1301" s="689" t="s">
        <v>384</v>
      </c>
      <c r="B1301" s="691"/>
      <c r="C1301" s="691"/>
      <c r="D1301" s="691"/>
      <c r="E1301" s="692"/>
      <c r="F1301" s="693"/>
      <c r="G1301" s="723"/>
      <c r="H1301" s="695"/>
      <c r="I1301" s="691"/>
      <c r="J1301" s="690"/>
      <c r="K1301" s="784"/>
      <c r="L1301" s="757"/>
    </row>
    <row r="1302" spans="1:12" ht="26.25" customHeight="1">
      <c r="A1302" s="689" t="s">
        <v>384</v>
      </c>
      <c r="B1302" s="822" t="s">
        <v>393</v>
      </c>
      <c r="C1302" s="734"/>
      <c r="D1302" s="705" t="s">
        <v>283</v>
      </c>
      <c r="E1302" s="735" t="s">
        <v>394</v>
      </c>
      <c r="F1302" s="736" t="s">
        <v>19</v>
      </c>
      <c r="G1302" s="727">
        <f>ROUND('r.pex'!M68,2)</f>
        <v>22.92</v>
      </c>
      <c r="H1302" s="704" t="s">
        <v>14</v>
      </c>
      <c r="I1302" s="705"/>
      <c r="J1302" s="752">
        <f>J1275+5</f>
        <v>36</v>
      </c>
      <c r="K1302" s="784"/>
      <c r="L1302" s="757"/>
    </row>
    <row r="1303" spans="1:12" ht="27">
      <c r="A1303" s="689" t="s">
        <v>384</v>
      </c>
      <c r="B1303" s="822" t="s">
        <v>393</v>
      </c>
      <c r="C1303" s="734"/>
      <c r="D1303" s="705" t="s">
        <v>17</v>
      </c>
      <c r="E1303" s="735" t="s">
        <v>386</v>
      </c>
      <c r="F1303" s="736" t="s">
        <v>19</v>
      </c>
      <c r="G1303" s="727">
        <f>ROUND('r.pex'!M69,2)</f>
        <v>23.76</v>
      </c>
      <c r="H1303" s="704" t="s">
        <v>14</v>
      </c>
      <c r="I1303" s="705"/>
      <c r="J1303" s="752">
        <f t="shared" ref="J1303:J1306" si="35">J1276+5</f>
        <v>37</v>
      </c>
      <c r="K1303" s="784"/>
      <c r="L1303" s="757"/>
    </row>
    <row r="1304" spans="1:12" ht="27">
      <c r="A1304" s="689" t="s">
        <v>384</v>
      </c>
      <c r="B1304" s="822" t="s">
        <v>393</v>
      </c>
      <c r="C1304" s="734"/>
      <c r="D1304" s="705" t="s">
        <v>21</v>
      </c>
      <c r="E1304" s="735" t="s">
        <v>387</v>
      </c>
      <c r="F1304" s="736" t="s">
        <v>19</v>
      </c>
      <c r="G1304" s="727">
        <f>ROUND('r.pex'!M70,2)</f>
        <v>27.61</v>
      </c>
      <c r="H1304" s="704" t="s">
        <v>14</v>
      </c>
      <c r="I1304" s="705"/>
      <c r="J1304" s="752">
        <f t="shared" si="35"/>
        <v>41</v>
      </c>
      <c r="K1304" s="784"/>
      <c r="L1304" s="757"/>
    </row>
    <row r="1305" spans="1:12" ht="27">
      <c r="A1305" s="689" t="s">
        <v>384</v>
      </c>
      <c r="B1305" s="822" t="s">
        <v>393</v>
      </c>
      <c r="C1305" s="734"/>
      <c r="D1305" s="705" t="s">
        <v>23</v>
      </c>
      <c r="E1305" s="735" t="s">
        <v>388</v>
      </c>
      <c r="F1305" s="736" t="s">
        <v>19</v>
      </c>
      <c r="G1305" s="727">
        <f>ROUND('r.pex'!M71,2)</f>
        <v>42.18</v>
      </c>
      <c r="H1305" s="704" t="s">
        <v>14</v>
      </c>
      <c r="I1305" s="705"/>
      <c r="J1305" s="752">
        <f t="shared" si="35"/>
        <v>48</v>
      </c>
      <c r="K1305" s="784"/>
      <c r="L1305" s="757"/>
    </row>
    <row r="1306" spans="1:12" ht="27">
      <c r="A1306" s="689" t="s">
        <v>384</v>
      </c>
      <c r="B1306" s="822" t="s">
        <v>393</v>
      </c>
      <c r="C1306" s="734"/>
      <c r="D1306" s="705" t="s">
        <v>25</v>
      </c>
      <c r="E1306" s="735" t="s">
        <v>389</v>
      </c>
      <c r="F1306" s="736" t="s">
        <v>19</v>
      </c>
      <c r="G1306" s="727">
        <f>ROUND('r.pex'!M72,2)</f>
        <v>59.82</v>
      </c>
      <c r="H1306" s="704" t="s">
        <v>14</v>
      </c>
      <c r="I1306" s="705"/>
      <c r="J1306" s="752">
        <f t="shared" si="35"/>
        <v>62</v>
      </c>
      <c r="K1306" s="784"/>
      <c r="L1306" s="757"/>
    </row>
    <row r="1307" spans="1:12" hidden="1">
      <c r="A1307" s="689" t="s">
        <v>378</v>
      </c>
      <c r="B1307" s="691"/>
      <c r="C1307" s="691"/>
      <c r="D1307" s="691"/>
      <c r="E1307" s="692"/>
      <c r="F1307" s="693"/>
      <c r="G1307" s="723"/>
      <c r="H1307" s="695"/>
      <c r="I1307" s="691"/>
      <c r="J1307" s="690"/>
      <c r="K1307" s="709"/>
      <c r="L1307" s="757"/>
    </row>
    <row r="1308" spans="1:12" hidden="1">
      <c r="A1308" s="689" t="s">
        <v>378</v>
      </c>
      <c r="B1308" s="699" t="s">
        <v>395</v>
      </c>
      <c r="C1308" s="710" t="s">
        <v>53</v>
      </c>
      <c r="D1308" s="710" t="s">
        <v>27</v>
      </c>
      <c r="E1308" s="735"/>
      <c r="F1308" s="736" t="s">
        <v>19</v>
      </c>
      <c r="G1308" s="828">
        <f>ROUND('r. HDPE'!R17,2)</f>
        <v>38.67</v>
      </c>
      <c r="H1308" s="704"/>
      <c r="I1308" s="705"/>
      <c r="J1308" s="738">
        <v>45</v>
      </c>
      <c r="K1308" s="709"/>
      <c r="L1308" s="757"/>
    </row>
    <row r="1309" spans="1:12" hidden="1">
      <c r="A1309" s="689" t="s">
        <v>378</v>
      </c>
      <c r="B1309" s="699" t="s">
        <v>395</v>
      </c>
      <c r="C1309" s="710" t="s">
        <v>55</v>
      </c>
      <c r="D1309" s="710" t="s">
        <v>396</v>
      </c>
      <c r="E1309" s="735"/>
      <c r="F1309" s="736" t="s">
        <v>19</v>
      </c>
      <c r="G1309" s="828">
        <f>ROUND('r. HDPE'!R18,2)</f>
        <v>43.32</v>
      </c>
      <c r="H1309" s="704"/>
      <c r="I1309" s="705"/>
      <c r="J1309" s="738">
        <v>50</v>
      </c>
      <c r="K1309" s="709"/>
      <c r="L1309" s="757"/>
    </row>
    <row r="1310" spans="1:12" hidden="1">
      <c r="A1310" s="689" t="s">
        <v>378</v>
      </c>
      <c r="B1310" s="699" t="s">
        <v>395</v>
      </c>
      <c r="C1310" s="734" t="s">
        <v>57</v>
      </c>
      <c r="D1310" s="846" t="s">
        <v>352</v>
      </c>
      <c r="E1310" s="735"/>
      <c r="F1310" s="736" t="s">
        <v>19</v>
      </c>
      <c r="G1310" s="828">
        <f>ROUND('r. HDPE'!R19,2)</f>
        <v>47.37</v>
      </c>
      <c r="H1310" s="704"/>
      <c r="I1310" s="705"/>
      <c r="J1310" s="738">
        <v>60</v>
      </c>
      <c r="K1310" s="709"/>
      <c r="L1310" s="757"/>
    </row>
    <row r="1311" spans="1:12" hidden="1">
      <c r="A1311" s="689" t="s">
        <v>378</v>
      </c>
      <c r="B1311" s="699" t="s">
        <v>395</v>
      </c>
      <c r="C1311" s="710" t="s">
        <v>59</v>
      </c>
      <c r="D1311" s="844" t="s">
        <v>33</v>
      </c>
      <c r="E1311" s="845" t="s">
        <v>34</v>
      </c>
      <c r="F1311" s="736" t="s">
        <v>19</v>
      </c>
      <c r="G1311" s="828">
        <f>ROUND('r. HDPE'!R20,2)</f>
        <v>49.15</v>
      </c>
      <c r="H1311" s="704"/>
      <c r="I1311" s="705"/>
      <c r="J1311" s="738">
        <v>72</v>
      </c>
      <c r="K1311" s="709"/>
      <c r="L1311" s="757"/>
    </row>
    <row r="1312" spans="1:12" hidden="1">
      <c r="A1312" s="689" t="s">
        <v>378</v>
      </c>
      <c r="B1312" s="699" t="s">
        <v>395</v>
      </c>
      <c r="C1312" s="710" t="s">
        <v>60</v>
      </c>
      <c r="D1312" s="844" t="s">
        <v>35</v>
      </c>
      <c r="E1312" s="735"/>
      <c r="F1312" s="736" t="s">
        <v>19</v>
      </c>
      <c r="G1312" s="828">
        <f>ROUND('r. HDPE'!R21,2)</f>
        <v>54.91</v>
      </c>
      <c r="H1312" s="704"/>
      <c r="I1312" s="705"/>
      <c r="J1312" s="738">
        <v>90</v>
      </c>
      <c r="K1312" s="709"/>
      <c r="L1312" s="757"/>
    </row>
    <row r="1313" spans="1:12" hidden="1">
      <c r="A1313" s="689" t="s">
        <v>378</v>
      </c>
      <c r="B1313" s="699" t="s">
        <v>395</v>
      </c>
      <c r="C1313" s="710" t="s">
        <v>62</v>
      </c>
      <c r="D1313" s="844" t="s">
        <v>37</v>
      </c>
      <c r="E1313" s="735">
        <v>4</v>
      </c>
      <c r="F1313" s="736" t="s">
        <v>19</v>
      </c>
      <c r="G1313" s="828">
        <f>ROUND('r. HDPE'!R22,2)</f>
        <v>66.42</v>
      </c>
      <c r="H1313" s="704"/>
      <c r="I1313" s="705"/>
      <c r="J1313" s="738">
        <v>110</v>
      </c>
      <c r="K1313" s="709"/>
      <c r="L1313" s="757"/>
    </row>
    <row r="1314" spans="1:12" hidden="1">
      <c r="A1314" s="689" t="s">
        <v>378</v>
      </c>
      <c r="B1314" s="699" t="s">
        <v>395</v>
      </c>
      <c r="C1314" s="710" t="s">
        <v>63</v>
      </c>
      <c r="D1314" s="710" t="s">
        <v>358</v>
      </c>
      <c r="E1314" s="735"/>
      <c r="F1314" s="736" t="s">
        <v>19</v>
      </c>
      <c r="G1314" s="828">
        <f>ROUND('r. HDPE'!R23,2)</f>
        <v>83.18</v>
      </c>
      <c r="H1314" s="704"/>
      <c r="I1314" s="705"/>
      <c r="J1314" s="738">
        <v>135</v>
      </c>
      <c r="K1314" s="709"/>
      <c r="L1314" s="757"/>
    </row>
    <row r="1315" spans="1:12" hidden="1">
      <c r="A1315" s="689" t="s">
        <v>378</v>
      </c>
      <c r="B1315" s="699" t="s">
        <v>395</v>
      </c>
      <c r="C1315" s="710" t="s">
        <v>66</v>
      </c>
      <c r="D1315" s="710" t="s">
        <v>120</v>
      </c>
      <c r="E1315" s="735"/>
      <c r="F1315" s="736" t="s">
        <v>19</v>
      </c>
      <c r="G1315" s="828">
        <f>ROUND('r. HDPE'!R24,2)</f>
        <v>108.45</v>
      </c>
      <c r="H1315" s="704"/>
      <c r="I1315" s="705"/>
      <c r="J1315" s="738">
        <v>150</v>
      </c>
      <c r="K1315" s="709"/>
      <c r="L1315" s="757"/>
    </row>
    <row r="1316" spans="1:12" hidden="1">
      <c r="A1316" s="689" t="s">
        <v>378</v>
      </c>
      <c r="B1316" s="699" t="s">
        <v>395</v>
      </c>
      <c r="C1316" s="710" t="s">
        <v>121</v>
      </c>
      <c r="D1316" s="710" t="s">
        <v>154</v>
      </c>
      <c r="E1316" s="735"/>
      <c r="F1316" s="736" t="s">
        <v>19</v>
      </c>
      <c r="G1316" s="828">
        <f>ROUND('r. HDPE'!R25,2)</f>
        <v>181.72</v>
      </c>
      <c r="H1316" s="704"/>
      <c r="I1316" s="705"/>
      <c r="J1316" s="738">
        <v>190</v>
      </c>
      <c r="K1316" s="709"/>
      <c r="L1316" s="757"/>
    </row>
    <row r="1317" spans="1:12" hidden="1">
      <c r="A1317" s="689" t="s">
        <v>378</v>
      </c>
      <c r="B1317" s="699" t="s">
        <v>395</v>
      </c>
      <c r="C1317" s="710" t="s">
        <v>122</v>
      </c>
      <c r="D1317" s="710" t="s">
        <v>155</v>
      </c>
      <c r="E1317" s="735"/>
      <c r="F1317" s="736" t="s">
        <v>19</v>
      </c>
      <c r="G1317" s="828">
        <f>ROUND('r. HDPE'!R26,2)</f>
        <v>505.09</v>
      </c>
      <c r="H1317" s="704"/>
      <c r="I1317" s="705"/>
      <c r="J1317" s="738">
        <v>220</v>
      </c>
      <c r="K1317" s="709"/>
      <c r="L1317" s="757"/>
    </row>
    <row r="1318" spans="1:12" hidden="1">
      <c r="A1318" s="689"/>
      <c r="B1318" s="691"/>
      <c r="C1318" s="691"/>
      <c r="D1318" s="691"/>
      <c r="E1318" s="692"/>
      <c r="F1318" s="693"/>
      <c r="G1318" s="723"/>
      <c r="H1318" s="695"/>
      <c r="I1318" s="691"/>
      <c r="J1318" s="690"/>
      <c r="K1318" s="709"/>
      <c r="L1318" s="757"/>
    </row>
    <row r="1319" spans="1:12" hidden="1">
      <c r="A1319" s="689" t="s">
        <v>397</v>
      </c>
      <c r="B1319" s="785" t="s">
        <v>398</v>
      </c>
      <c r="C1319" s="394" t="s">
        <v>53</v>
      </c>
      <c r="D1319" s="710"/>
      <c r="E1319" s="735"/>
      <c r="F1319" s="736" t="s">
        <v>19</v>
      </c>
      <c r="G1319" s="727"/>
      <c r="H1319" s="704"/>
      <c r="I1319" s="705"/>
      <c r="J1319" s="752">
        <f>'robocizna GCH'!G258</f>
        <v>112</v>
      </c>
      <c r="K1319" s="709"/>
      <c r="L1319" s="757"/>
    </row>
    <row r="1320" spans="1:12" hidden="1">
      <c r="A1320" s="689" t="s">
        <v>397</v>
      </c>
      <c r="B1320" s="785" t="s">
        <v>398</v>
      </c>
      <c r="C1320" s="394" t="s">
        <v>55</v>
      </c>
      <c r="D1320" s="710"/>
      <c r="E1320" s="735"/>
      <c r="F1320" s="736" t="s">
        <v>19</v>
      </c>
      <c r="G1320" s="727"/>
      <c r="H1320" s="704"/>
      <c r="I1320" s="705"/>
      <c r="J1320" s="752">
        <f>'robocizna GCH'!G259</f>
        <v>112</v>
      </c>
      <c r="K1320" s="709"/>
      <c r="L1320" s="757"/>
    </row>
    <row r="1321" spans="1:12" hidden="1">
      <c r="A1321" s="689" t="s">
        <v>397</v>
      </c>
      <c r="B1321" s="785" t="s">
        <v>398</v>
      </c>
      <c r="C1321" s="394" t="s">
        <v>57</v>
      </c>
      <c r="D1321" s="710"/>
      <c r="E1321" s="735"/>
      <c r="F1321" s="736" t="s">
        <v>19</v>
      </c>
      <c r="G1321" s="727"/>
      <c r="H1321" s="704"/>
      <c r="I1321" s="705"/>
      <c r="J1321" s="752">
        <f>'robocizna GCH'!G260</f>
        <v>112</v>
      </c>
      <c r="K1321" s="709"/>
      <c r="L1321" s="757"/>
    </row>
    <row r="1322" spans="1:12" hidden="1">
      <c r="A1322" s="689" t="s">
        <v>397</v>
      </c>
      <c r="B1322" s="785" t="s">
        <v>398</v>
      </c>
      <c r="C1322" s="394" t="s">
        <v>59</v>
      </c>
      <c r="D1322" s="710"/>
      <c r="E1322" s="735"/>
      <c r="F1322" s="736" t="s">
        <v>19</v>
      </c>
      <c r="G1322" s="727"/>
      <c r="H1322" s="704"/>
      <c r="I1322" s="705"/>
      <c r="J1322" s="752">
        <f>'robocizna GCH'!G261</f>
        <v>162</v>
      </c>
      <c r="K1322" s="709"/>
      <c r="L1322" s="757"/>
    </row>
    <row r="1323" spans="1:12" hidden="1">
      <c r="A1323" s="689" t="s">
        <v>397</v>
      </c>
      <c r="B1323" s="785" t="s">
        <v>398</v>
      </c>
      <c r="C1323" s="394" t="s">
        <v>60</v>
      </c>
      <c r="D1323" s="710"/>
      <c r="E1323" s="735"/>
      <c r="F1323" s="736" t="s">
        <v>19</v>
      </c>
      <c r="G1323" s="727"/>
      <c r="H1323" s="704"/>
      <c r="I1323" s="705"/>
      <c r="J1323" s="752">
        <f>'robocizna GCH'!G262</f>
        <v>162</v>
      </c>
      <c r="K1323" s="709"/>
      <c r="L1323" s="757"/>
    </row>
    <row r="1324" spans="1:12" hidden="1">
      <c r="A1324" s="689" t="s">
        <v>397</v>
      </c>
      <c r="B1324" s="785" t="s">
        <v>398</v>
      </c>
      <c r="C1324" s="394" t="s">
        <v>62</v>
      </c>
      <c r="D1324" s="844" t="s">
        <v>37</v>
      </c>
      <c r="E1324" s="735">
        <v>4</v>
      </c>
      <c r="F1324" s="736" t="s">
        <v>19</v>
      </c>
      <c r="G1324" s="727"/>
      <c r="H1324" s="704"/>
      <c r="I1324" s="705"/>
      <c r="J1324" s="752">
        <f>'robocizna GCH'!G263</f>
        <v>162</v>
      </c>
      <c r="K1324" s="709"/>
      <c r="L1324" s="757"/>
    </row>
    <row r="1325" spans="1:12" hidden="1">
      <c r="A1325" s="689" t="s">
        <v>397</v>
      </c>
      <c r="B1325" s="785" t="s">
        <v>398</v>
      </c>
      <c r="C1325" s="394" t="s">
        <v>66</v>
      </c>
      <c r="D1325" s="710"/>
      <c r="E1325" s="735"/>
      <c r="F1325" s="736" t="s">
        <v>19</v>
      </c>
      <c r="G1325" s="727"/>
      <c r="H1325" s="704"/>
      <c r="I1325" s="705"/>
      <c r="J1325" s="752">
        <f>'robocizna GCH'!G264</f>
        <v>325</v>
      </c>
      <c r="K1325" s="709"/>
      <c r="L1325" s="757"/>
    </row>
    <row r="1326" spans="1:12" hidden="1">
      <c r="A1326" s="689" t="s">
        <v>397</v>
      </c>
      <c r="B1326" s="785" t="s">
        <v>398</v>
      </c>
      <c r="C1326" s="394" t="s">
        <v>121</v>
      </c>
      <c r="D1326" s="710"/>
      <c r="E1326" s="735"/>
      <c r="F1326" s="736" t="s">
        <v>19</v>
      </c>
      <c r="G1326" s="727"/>
      <c r="H1326" s="704"/>
      <c r="I1326" s="705"/>
      <c r="J1326" s="752">
        <f>'robocizna GCH'!G265</f>
        <v>325</v>
      </c>
      <c r="K1326" s="709"/>
      <c r="L1326" s="757"/>
    </row>
    <row r="1327" spans="1:12" hidden="1">
      <c r="A1327" s="689" t="s">
        <v>397</v>
      </c>
      <c r="B1327" s="785" t="s">
        <v>398</v>
      </c>
      <c r="C1327" s="394" t="s">
        <v>122</v>
      </c>
      <c r="D1327" s="710"/>
      <c r="E1327" s="735"/>
      <c r="F1327" s="736" t="s">
        <v>19</v>
      </c>
      <c r="G1327" s="727"/>
      <c r="H1327" s="704"/>
      <c r="I1327" s="705"/>
      <c r="J1327" s="752">
        <f>'robocizna GCH'!G266</f>
        <v>400</v>
      </c>
      <c r="K1327" s="709"/>
      <c r="L1327" s="757"/>
    </row>
    <row r="1328" spans="1:12" hidden="1">
      <c r="A1328" s="689" t="s">
        <v>397</v>
      </c>
      <c r="B1328" s="785" t="s">
        <v>398</v>
      </c>
      <c r="C1328" s="394" t="s">
        <v>156</v>
      </c>
      <c r="D1328" s="710"/>
      <c r="E1328" s="735"/>
      <c r="F1328" s="736" t="s">
        <v>19</v>
      </c>
      <c r="G1328" s="727"/>
      <c r="H1328" s="704"/>
      <c r="I1328" s="705"/>
      <c r="J1328" s="752">
        <f>'robocizna GCH'!G267</f>
        <v>487</v>
      </c>
      <c r="K1328" s="709"/>
      <c r="L1328" s="757"/>
    </row>
    <row r="1329" spans="1:12" hidden="1">
      <c r="A1329" s="689" t="s">
        <v>397</v>
      </c>
      <c r="B1329" s="785" t="s">
        <v>398</v>
      </c>
      <c r="C1329" s="394" t="s">
        <v>158</v>
      </c>
      <c r="D1329" s="710"/>
      <c r="E1329" s="735"/>
      <c r="F1329" s="736" t="s">
        <v>19</v>
      </c>
      <c r="G1329" s="727"/>
      <c r="H1329" s="704"/>
      <c r="I1329" s="705"/>
      <c r="J1329" s="752">
        <f>'robocizna GCH'!G268</f>
        <v>562</v>
      </c>
      <c r="K1329" s="709"/>
      <c r="L1329" s="757"/>
    </row>
    <row r="1330" spans="1:12" hidden="1">
      <c r="A1330" s="689" t="s">
        <v>397</v>
      </c>
      <c r="B1330" s="785" t="s">
        <v>398</v>
      </c>
      <c r="C1330" s="394" t="s">
        <v>399</v>
      </c>
      <c r="D1330" s="710"/>
      <c r="E1330" s="735"/>
      <c r="F1330" s="736" t="s">
        <v>19</v>
      </c>
      <c r="G1330" s="727"/>
      <c r="H1330" s="704"/>
      <c r="I1330" s="705"/>
      <c r="J1330" s="752">
        <f>'robocizna GCH'!G269</f>
        <v>650</v>
      </c>
      <c r="K1330" s="709"/>
      <c r="L1330" s="757"/>
    </row>
    <row r="1331" spans="1:12" hidden="1">
      <c r="A1331" s="689" t="s">
        <v>397</v>
      </c>
      <c r="B1331" s="786" t="s">
        <v>398</v>
      </c>
      <c r="C1331" s="394" t="s">
        <v>178</v>
      </c>
      <c r="D1331" s="710"/>
      <c r="E1331" s="735"/>
      <c r="F1331" s="736" t="s">
        <v>19</v>
      </c>
      <c r="G1331" s="727"/>
      <c r="H1331" s="704"/>
      <c r="I1331" s="705"/>
      <c r="J1331" s="752">
        <f>'robocizna GCH'!G270</f>
        <v>813</v>
      </c>
      <c r="K1331" s="709"/>
      <c r="L1331" s="757"/>
    </row>
    <row r="1332" spans="1:12" hidden="1">
      <c r="A1332" s="689"/>
      <c r="B1332" s="691"/>
      <c r="C1332" s="691"/>
      <c r="D1332" s="691"/>
      <c r="E1332" s="692"/>
      <c r="F1332" s="693"/>
      <c r="G1332" s="723"/>
      <c r="H1332" s="695"/>
      <c r="I1332" s="691"/>
      <c r="J1332" s="690"/>
      <c r="K1332" s="709"/>
      <c r="L1332" s="757"/>
    </row>
    <row r="1333" spans="1:12" hidden="1">
      <c r="A1333" s="689" t="s">
        <v>400</v>
      </c>
      <c r="B1333" s="787" t="s">
        <v>401</v>
      </c>
      <c r="C1333" s="705"/>
      <c r="D1333" s="705"/>
      <c r="E1333" s="735"/>
      <c r="F1333" s="736" t="s">
        <v>319</v>
      </c>
      <c r="G1333" s="727"/>
      <c r="H1333" s="704"/>
      <c r="I1333" s="705"/>
      <c r="J1333" s="738">
        <v>350</v>
      </c>
      <c r="K1333" s="709"/>
      <c r="L1333" s="757"/>
    </row>
    <row r="1334" spans="1:12" ht="20.25" hidden="1">
      <c r="A1334" s="689" t="s">
        <v>400</v>
      </c>
      <c r="B1334" s="769" t="s">
        <v>402</v>
      </c>
      <c r="C1334" s="705"/>
      <c r="D1334" s="705"/>
      <c r="E1334" s="735"/>
      <c r="F1334" s="736" t="s">
        <v>319</v>
      </c>
      <c r="G1334" s="727"/>
      <c r="H1334" s="704"/>
      <c r="I1334" s="705"/>
      <c r="J1334" s="738">
        <v>150</v>
      </c>
      <c r="K1334" s="709"/>
      <c r="L1334" s="757"/>
    </row>
    <row r="1335" spans="1:12" ht="20.25" hidden="1">
      <c r="A1335" s="689" t="s">
        <v>400</v>
      </c>
      <c r="B1335" s="769" t="s">
        <v>403</v>
      </c>
      <c r="C1335" s="705"/>
      <c r="D1335" s="705"/>
      <c r="E1335" s="735"/>
      <c r="F1335" s="736" t="s">
        <v>319</v>
      </c>
      <c r="G1335" s="727"/>
      <c r="H1335" s="704"/>
      <c r="I1335" s="705"/>
      <c r="J1335" s="738">
        <v>250</v>
      </c>
      <c r="K1335" s="709"/>
      <c r="L1335" s="757"/>
    </row>
    <row r="1336" spans="1:12" ht="20.25" hidden="1">
      <c r="A1336" s="689" t="s">
        <v>400</v>
      </c>
      <c r="B1336" s="769" t="s">
        <v>404</v>
      </c>
      <c r="C1336" s="705"/>
      <c r="D1336" s="705"/>
      <c r="E1336" s="735"/>
      <c r="F1336" s="736" t="s">
        <v>319</v>
      </c>
      <c r="G1336" s="727"/>
      <c r="H1336" s="704"/>
      <c r="I1336" s="705"/>
      <c r="J1336" s="738">
        <v>60</v>
      </c>
      <c r="K1336" s="709"/>
      <c r="L1336" s="757"/>
    </row>
    <row r="1337" spans="1:12" hidden="1">
      <c r="A1337" s="689"/>
      <c r="B1337" s="691"/>
      <c r="C1337" s="691"/>
      <c r="D1337" s="691"/>
      <c r="E1337" s="692"/>
      <c r="F1337" s="693"/>
      <c r="G1337" s="723"/>
      <c r="H1337" s="695"/>
      <c r="I1337" s="691"/>
      <c r="J1337" s="690"/>
      <c r="K1337" s="709"/>
      <c r="L1337" s="757"/>
    </row>
    <row r="1338" spans="1:12" hidden="1">
      <c r="A1338" s="689" t="s">
        <v>340</v>
      </c>
      <c r="B1338" s="750" t="s">
        <v>405</v>
      </c>
      <c r="C1338" s="705"/>
      <c r="D1338" s="705"/>
      <c r="E1338" s="735"/>
      <c r="F1338" s="736" t="s">
        <v>19</v>
      </c>
      <c r="G1338" s="727"/>
      <c r="H1338" s="704"/>
      <c r="I1338" s="705"/>
      <c r="J1338" s="738">
        <v>20</v>
      </c>
      <c r="K1338" s="709"/>
      <c r="L1338" s="757"/>
    </row>
    <row r="1339" spans="1:12" hidden="1">
      <c r="A1339" s="689" t="s">
        <v>340</v>
      </c>
      <c r="B1339" s="787" t="s">
        <v>406</v>
      </c>
      <c r="C1339" s="734" t="s">
        <v>62</v>
      </c>
      <c r="D1339" s="844" t="s">
        <v>37</v>
      </c>
      <c r="E1339" s="735">
        <v>4</v>
      </c>
      <c r="F1339" s="736" t="s">
        <v>319</v>
      </c>
      <c r="G1339" s="727"/>
      <c r="H1339" s="704"/>
      <c r="I1339" s="705"/>
      <c r="J1339" s="738">
        <v>150</v>
      </c>
      <c r="K1339" s="709"/>
      <c r="L1339" s="757"/>
    </row>
    <row r="1340" spans="1:12" hidden="1">
      <c r="A1340" s="689" t="s">
        <v>340</v>
      </c>
      <c r="B1340" s="787" t="s">
        <v>406</v>
      </c>
      <c r="C1340" s="734" t="s">
        <v>66</v>
      </c>
      <c r="D1340" s="705" t="s">
        <v>120</v>
      </c>
      <c r="E1340" s="735"/>
      <c r="F1340" s="736" t="s">
        <v>319</v>
      </c>
      <c r="G1340" s="727"/>
      <c r="H1340" s="704"/>
      <c r="I1340" s="705"/>
      <c r="J1340" s="738">
        <v>220</v>
      </c>
      <c r="K1340" s="709"/>
      <c r="L1340" s="757"/>
    </row>
    <row r="1341" spans="1:12" hidden="1">
      <c r="A1341" s="689" t="s">
        <v>340</v>
      </c>
      <c r="B1341" s="787" t="s">
        <v>406</v>
      </c>
      <c r="C1341" s="734" t="s">
        <v>121</v>
      </c>
      <c r="D1341" s="705"/>
      <c r="E1341" s="735"/>
      <c r="F1341" s="736" t="s">
        <v>319</v>
      </c>
      <c r="G1341" s="727"/>
      <c r="H1341" s="704"/>
      <c r="I1341" s="705"/>
      <c r="J1341" s="738">
        <v>325</v>
      </c>
      <c r="K1341" s="709"/>
      <c r="L1341" s="757"/>
    </row>
    <row r="1342" spans="1:12" hidden="1">
      <c r="A1342" s="689" t="s">
        <v>340</v>
      </c>
      <c r="B1342" s="750" t="s">
        <v>407</v>
      </c>
      <c r="C1342" s="705"/>
      <c r="D1342" s="705"/>
      <c r="E1342" s="735"/>
      <c r="F1342" s="736" t="s">
        <v>19</v>
      </c>
      <c r="G1342" s="727"/>
      <c r="H1342" s="704"/>
      <c r="I1342" s="705"/>
      <c r="J1342" s="738">
        <v>300</v>
      </c>
      <c r="K1342" s="709"/>
      <c r="L1342" s="757"/>
    </row>
    <row r="1343" spans="1:12" hidden="1">
      <c r="A1343" s="689" t="s">
        <v>340</v>
      </c>
      <c r="B1343" s="750" t="s">
        <v>408</v>
      </c>
      <c r="C1343" s="705"/>
      <c r="D1343" s="705"/>
      <c r="E1343" s="735"/>
      <c r="F1343" s="736" t="s">
        <v>319</v>
      </c>
      <c r="G1343" s="727"/>
      <c r="H1343" s="704"/>
      <c r="I1343" s="705"/>
      <c r="J1343" s="738">
        <v>2500</v>
      </c>
      <c r="K1343" s="709"/>
      <c r="L1343" s="757"/>
    </row>
    <row r="1344" spans="1:12" hidden="1">
      <c r="A1344" s="689" t="s">
        <v>340</v>
      </c>
      <c r="B1344" s="691"/>
      <c r="C1344" s="691"/>
      <c r="D1344" s="691"/>
      <c r="E1344" s="692"/>
      <c r="F1344" s="693"/>
      <c r="G1344" s="723"/>
      <c r="H1344" s="695"/>
      <c r="I1344" s="691"/>
      <c r="J1344" s="690"/>
      <c r="K1344" s="709"/>
      <c r="L1344" s="757"/>
    </row>
    <row r="1345" spans="1:12" hidden="1">
      <c r="A1345" s="689" t="s">
        <v>409</v>
      </c>
      <c r="B1345" s="788" t="s">
        <v>410</v>
      </c>
      <c r="C1345" s="705"/>
      <c r="D1345" s="705"/>
      <c r="E1345" s="735"/>
      <c r="F1345" s="736" t="s">
        <v>319</v>
      </c>
      <c r="G1345" s="727"/>
      <c r="H1345" s="704"/>
      <c r="I1345" s="705"/>
      <c r="J1345" s="738">
        <v>100</v>
      </c>
      <c r="K1345" s="709"/>
      <c r="L1345" s="757"/>
    </row>
    <row r="1346" spans="1:12" hidden="1">
      <c r="A1346" s="689" t="s">
        <v>409</v>
      </c>
      <c r="B1346" s="788" t="s">
        <v>411</v>
      </c>
      <c r="C1346" s="705"/>
      <c r="D1346" s="705"/>
      <c r="E1346" s="735"/>
      <c r="F1346" s="736" t="s">
        <v>319</v>
      </c>
      <c r="G1346" s="727"/>
      <c r="H1346" s="704"/>
      <c r="I1346" s="705"/>
      <c r="J1346" s="738">
        <v>120</v>
      </c>
      <c r="K1346" s="709"/>
      <c r="L1346" s="757"/>
    </row>
    <row r="1347" spans="1:12" hidden="1">
      <c r="A1347" s="689" t="s">
        <v>409</v>
      </c>
      <c r="B1347" s="789" t="s">
        <v>412</v>
      </c>
      <c r="C1347" s="705"/>
      <c r="D1347" s="705"/>
      <c r="E1347" s="735"/>
      <c r="F1347" s="736" t="s">
        <v>319</v>
      </c>
      <c r="G1347" s="727"/>
      <c r="H1347" s="704"/>
      <c r="I1347" s="705"/>
      <c r="J1347" s="738">
        <v>100</v>
      </c>
      <c r="K1347" s="709"/>
      <c r="L1347" s="757"/>
    </row>
    <row r="1348" spans="1:12" hidden="1">
      <c r="A1348" s="689" t="s">
        <v>409</v>
      </c>
      <c r="B1348" s="750" t="s">
        <v>413</v>
      </c>
      <c r="C1348" s="705"/>
      <c r="D1348" s="705"/>
      <c r="E1348" s="735"/>
      <c r="F1348" s="736" t="s">
        <v>319</v>
      </c>
      <c r="G1348" s="727"/>
      <c r="H1348" s="704"/>
      <c r="I1348" s="705"/>
      <c r="J1348" s="738">
        <v>100</v>
      </c>
      <c r="K1348" s="709"/>
      <c r="L1348" s="757"/>
    </row>
    <row r="1349" spans="1:12" hidden="1">
      <c r="A1349" s="689" t="s">
        <v>409</v>
      </c>
      <c r="B1349" s="750" t="s">
        <v>414</v>
      </c>
      <c r="C1349" s="705"/>
      <c r="D1349" s="705"/>
      <c r="E1349" s="735"/>
      <c r="F1349" s="736" t="s">
        <v>319</v>
      </c>
      <c r="G1349" s="727"/>
      <c r="H1349" s="704"/>
      <c r="I1349" s="705"/>
      <c r="J1349" s="738">
        <v>130</v>
      </c>
      <c r="K1349" s="709"/>
      <c r="L1349" s="757"/>
    </row>
    <row r="1350" spans="1:12" hidden="1">
      <c r="A1350" s="689" t="s">
        <v>409</v>
      </c>
      <c r="B1350" s="754"/>
      <c r="C1350" s="691"/>
      <c r="D1350" s="691"/>
      <c r="E1350" s="692"/>
      <c r="F1350" s="693"/>
      <c r="G1350" s="723"/>
      <c r="H1350" s="695"/>
      <c r="I1350" s="691"/>
      <c r="J1350" s="690"/>
      <c r="K1350" s="709"/>
      <c r="L1350" s="757"/>
    </row>
    <row r="1351" spans="1:12" hidden="1">
      <c r="A1351" s="689" t="s">
        <v>409</v>
      </c>
      <c r="B1351" s="769" t="s">
        <v>415</v>
      </c>
      <c r="C1351" s="705"/>
      <c r="D1351" s="705"/>
      <c r="E1351" s="735"/>
      <c r="F1351" s="736" t="s">
        <v>319</v>
      </c>
      <c r="G1351" s="727"/>
      <c r="H1351" s="704"/>
      <c r="I1351" s="705"/>
      <c r="J1351" s="738">
        <v>120</v>
      </c>
      <c r="K1351" s="709"/>
      <c r="L1351" s="757"/>
    </row>
    <row r="1352" spans="1:12" hidden="1">
      <c r="A1352" s="689" t="s">
        <v>409</v>
      </c>
      <c r="B1352" s="769" t="s">
        <v>416</v>
      </c>
      <c r="C1352" s="705"/>
      <c r="D1352" s="705"/>
      <c r="E1352" s="735"/>
      <c r="F1352" s="736" t="s">
        <v>319</v>
      </c>
      <c r="G1352" s="727"/>
      <c r="H1352" s="704"/>
      <c r="I1352" s="705"/>
      <c r="J1352" s="738">
        <v>60</v>
      </c>
      <c r="K1352" s="709"/>
      <c r="L1352" s="757"/>
    </row>
    <row r="1353" spans="1:12" hidden="1">
      <c r="A1353" s="689" t="s">
        <v>409</v>
      </c>
      <c r="B1353" s="769" t="s">
        <v>417</v>
      </c>
      <c r="C1353" s="705"/>
      <c r="D1353" s="705"/>
      <c r="E1353" s="735"/>
      <c r="F1353" s="736" t="s">
        <v>319</v>
      </c>
      <c r="G1353" s="727"/>
      <c r="H1353" s="704"/>
      <c r="I1353" s="705"/>
      <c r="J1353" s="738">
        <v>180</v>
      </c>
      <c r="K1353" s="709"/>
      <c r="L1353" s="757"/>
    </row>
    <row r="1354" spans="1:12" ht="20.25" hidden="1">
      <c r="A1354" s="689" t="s">
        <v>409</v>
      </c>
      <c r="B1354" s="769" t="s">
        <v>418</v>
      </c>
      <c r="C1354" s="705"/>
      <c r="D1354" s="705"/>
      <c r="E1354" s="735"/>
      <c r="F1354" s="736" t="s">
        <v>319</v>
      </c>
      <c r="G1354" s="727"/>
      <c r="H1354" s="704"/>
      <c r="I1354" s="705"/>
      <c r="J1354" s="738">
        <v>210</v>
      </c>
      <c r="K1354" s="709"/>
      <c r="L1354" s="757"/>
    </row>
    <row r="1355" spans="1:12" ht="20.25" hidden="1">
      <c r="A1355" s="689" t="s">
        <v>409</v>
      </c>
      <c r="B1355" s="769" t="s">
        <v>419</v>
      </c>
      <c r="C1355" s="705"/>
      <c r="D1355" s="705"/>
      <c r="E1355" s="735"/>
      <c r="F1355" s="736" t="s">
        <v>319</v>
      </c>
      <c r="G1355" s="727"/>
      <c r="H1355" s="704"/>
      <c r="I1355" s="705"/>
      <c r="J1355" s="738">
        <v>420</v>
      </c>
      <c r="K1355" s="709"/>
      <c r="L1355" s="757"/>
    </row>
    <row r="1356" spans="1:12" hidden="1">
      <c r="A1356" s="689" t="s">
        <v>409</v>
      </c>
      <c r="B1356" s="769" t="s">
        <v>420</v>
      </c>
      <c r="C1356" s="705"/>
      <c r="D1356" s="705"/>
      <c r="E1356" s="735"/>
      <c r="F1356" s="736" t="s">
        <v>319</v>
      </c>
      <c r="G1356" s="727"/>
      <c r="H1356" s="704"/>
      <c r="I1356" s="705"/>
      <c r="J1356" s="738">
        <v>150</v>
      </c>
      <c r="K1356" s="709"/>
      <c r="L1356" s="757"/>
    </row>
    <row r="1357" spans="1:12" hidden="1">
      <c r="A1357" s="689" t="s">
        <v>409</v>
      </c>
      <c r="B1357" s="769" t="s">
        <v>421</v>
      </c>
      <c r="C1357" s="705"/>
      <c r="D1357" s="705"/>
      <c r="E1357" s="735"/>
      <c r="F1357" s="736" t="s">
        <v>319</v>
      </c>
      <c r="G1357" s="727"/>
      <c r="H1357" s="704"/>
      <c r="I1357" s="705"/>
      <c r="J1357" s="738">
        <v>30</v>
      </c>
      <c r="K1357" s="709"/>
      <c r="L1357" s="757"/>
    </row>
    <row r="1358" spans="1:12" hidden="1">
      <c r="A1358" s="689" t="s">
        <v>409</v>
      </c>
      <c r="B1358" s="769" t="s">
        <v>422</v>
      </c>
      <c r="C1358" s="705"/>
      <c r="D1358" s="705"/>
      <c r="E1358" s="735"/>
      <c r="F1358" s="736" t="s">
        <v>319</v>
      </c>
      <c r="G1358" s="727"/>
      <c r="H1358" s="704"/>
      <c r="I1358" s="705"/>
      <c r="J1358" s="738">
        <v>180</v>
      </c>
      <c r="K1358" s="709"/>
      <c r="L1358" s="757"/>
    </row>
    <row r="1359" spans="1:12" ht="20.25" hidden="1">
      <c r="A1359" s="689" t="s">
        <v>409</v>
      </c>
      <c r="B1359" s="769" t="s">
        <v>423</v>
      </c>
      <c r="C1359" s="705"/>
      <c r="D1359" s="705"/>
      <c r="E1359" s="735"/>
      <c r="F1359" s="736" t="s">
        <v>319</v>
      </c>
      <c r="G1359" s="727"/>
      <c r="H1359" s="704"/>
      <c r="I1359" s="705"/>
      <c r="J1359" s="738">
        <v>380</v>
      </c>
      <c r="K1359" s="709"/>
      <c r="L1359" s="757"/>
    </row>
    <row r="1360" spans="1:12" hidden="1">
      <c r="A1360" s="689" t="s">
        <v>409</v>
      </c>
      <c r="B1360" s="769" t="s">
        <v>424</v>
      </c>
      <c r="C1360" s="705"/>
      <c r="D1360" s="705"/>
      <c r="E1360" s="735"/>
      <c r="F1360" s="736" t="s">
        <v>319</v>
      </c>
      <c r="G1360" s="727"/>
      <c r="H1360" s="704"/>
      <c r="I1360" s="705"/>
      <c r="J1360" s="738">
        <v>120</v>
      </c>
      <c r="K1360" s="709"/>
      <c r="L1360" s="757"/>
    </row>
    <row r="1361" spans="1:12" hidden="1">
      <c r="A1361" s="689" t="s">
        <v>409</v>
      </c>
      <c r="B1361" s="769" t="s">
        <v>425</v>
      </c>
      <c r="C1361" s="705"/>
      <c r="D1361" s="705"/>
      <c r="E1361" s="735"/>
      <c r="F1361" s="736" t="s">
        <v>319</v>
      </c>
      <c r="G1361" s="727"/>
      <c r="H1361" s="704"/>
      <c r="I1361" s="705"/>
      <c r="J1361" s="738">
        <v>90</v>
      </c>
      <c r="K1361" s="709"/>
      <c r="L1361" s="757"/>
    </row>
    <row r="1362" spans="1:12" hidden="1">
      <c r="A1362" s="689" t="s">
        <v>409</v>
      </c>
      <c r="B1362" s="750" t="s">
        <v>426</v>
      </c>
      <c r="C1362" s="705"/>
      <c r="D1362" s="705"/>
      <c r="E1362" s="735"/>
      <c r="F1362" s="736" t="s">
        <v>319</v>
      </c>
      <c r="G1362" s="727"/>
      <c r="H1362" s="704"/>
      <c r="I1362" s="705"/>
      <c r="J1362" s="738">
        <v>100</v>
      </c>
      <c r="K1362" s="709"/>
      <c r="L1362" s="757"/>
    </row>
    <row r="1363" spans="1:12" hidden="1">
      <c r="A1363" s="689" t="s">
        <v>409</v>
      </c>
      <c r="B1363" s="750" t="s">
        <v>427</v>
      </c>
      <c r="C1363" s="705"/>
      <c r="D1363" s="705"/>
      <c r="E1363" s="735"/>
      <c r="F1363" s="736" t="s">
        <v>319</v>
      </c>
      <c r="G1363" s="727"/>
      <c r="H1363" s="704"/>
      <c r="I1363" s="705"/>
      <c r="J1363" s="738">
        <v>120</v>
      </c>
      <c r="K1363" s="709"/>
      <c r="L1363" s="757"/>
    </row>
    <row r="1364" spans="1:12" hidden="1">
      <c r="A1364" s="689" t="s">
        <v>409</v>
      </c>
      <c r="B1364" s="750" t="s">
        <v>428</v>
      </c>
      <c r="C1364" s="705"/>
      <c r="D1364" s="705"/>
      <c r="E1364" s="735"/>
      <c r="F1364" s="736" t="s">
        <v>319</v>
      </c>
      <c r="G1364" s="727"/>
      <c r="H1364" s="704"/>
      <c r="I1364" s="705"/>
      <c r="J1364" s="738">
        <v>300</v>
      </c>
      <c r="K1364" s="709"/>
      <c r="L1364" s="757"/>
    </row>
    <row r="1365" spans="1:12" hidden="1">
      <c r="A1365" s="689" t="s">
        <v>409</v>
      </c>
      <c r="B1365" s="750" t="s">
        <v>429</v>
      </c>
      <c r="C1365" s="705"/>
      <c r="D1365" s="705"/>
      <c r="E1365" s="735"/>
      <c r="F1365" s="736" t="s">
        <v>319</v>
      </c>
      <c r="G1365" s="727"/>
      <c r="H1365" s="704"/>
      <c r="I1365" s="705"/>
      <c r="J1365" s="738">
        <v>240</v>
      </c>
      <c r="K1365" s="709"/>
      <c r="L1365" s="757"/>
    </row>
    <row r="1366" spans="1:12" hidden="1">
      <c r="A1366" s="689" t="s">
        <v>409</v>
      </c>
      <c r="B1366" s="750" t="s">
        <v>430</v>
      </c>
      <c r="C1366" s="705"/>
      <c r="D1366" s="705"/>
      <c r="E1366" s="735"/>
      <c r="F1366" s="736" t="s">
        <v>319</v>
      </c>
      <c r="G1366" s="727"/>
      <c r="H1366" s="704"/>
      <c r="I1366" s="705"/>
      <c r="J1366" s="738">
        <v>420</v>
      </c>
      <c r="K1366" s="709"/>
      <c r="L1366" s="757"/>
    </row>
    <row r="1367" spans="1:12" hidden="1">
      <c r="A1367" s="689" t="s">
        <v>409</v>
      </c>
      <c r="B1367" s="769" t="s">
        <v>431</v>
      </c>
      <c r="C1367" s="705"/>
      <c r="D1367" s="705"/>
      <c r="E1367" s="735"/>
      <c r="F1367" s="736" t="s">
        <v>319</v>
      </c>
      <c r="G1367" s="727"/>
      <c r="H1367" s="704"/>
      <c r="I1367" s="705"/>
      <c r="J1367" s="738">
        <v>200</v>
      </c>
      <c r="K1367" s="709"/>
      <c r="L1367" s="757"/>
    </row>
    <row r="1368" spans="1:12" hidden="1">
      <c r="A1368" s="689" t="s">
        <v>409</v>
      </c>
      <c r="B1368" s="754"/>
      <c r="C1368" s="691"/>
      <c r="D1368" s="691"/>
      <c r="E1368" s="692"/>
      <c r="F1368" s="693"/>
      <c r="G1368" s="723"/>
      <c r="H1368" s="695"/>
      <c r="I1368" s="691"/>
      <c r="J1368" s="690"/>
      <c r="K1368" s="709"/>
      <c r="L1368" s="757"/>
    </row>
    <row r="1369" spans="1:12" hidden="1">
      <c r="A1369" s="689" t="s">
        <v>409</v>
      </c>
      <c r="B1369" s="750" t="s">
        <v>432</v>
      </c>
      <c r="C1369" s="705"/>
      <c r="D1369" s="705"/>
      <c r="E1369" s="735"/>
      <c r="F1369" s="736" t="s">
        <v>319</v>
      </c>
      <c r="G1369" s="727"/>
      <c r="H1369" s="704"/>
      <c r="I1369" s="705" t="s">
        <v>433</v>
      </c>
      <c r="J1369" s="738">
        <v>30</v>
      </c>
      <c r="K1369" s="709"/>
      <c r="L1369" s="757"/>
    </row>
    <row r="1370" spans="1:12" hidden="1">
      <c r="A1370" s="689" t="s">
        <v>409</v>
      </c>
      <c r="B1370" s="750" t="s">
        <v>432</v>
      </c>
      <c r="C1370" s="705"/>
      <c r="D1370" s="705"/>
      <c r="E1370" s="735"/>
      <c r="F1370" s="736" t="s">
        <v>319</v>
      </c>
      <c r="G1370" s="727"/>
      <c r="H1370" s="704"/>
      <c r="I1370" s="705" t="s">
        <v>426</v>
      </c>
      <c r="J1370" s="738">
        <f>J1369</f>
        <v>30</v>
      </c>
      <c r="K1370" s="709"/>
      <c r="L1370" s="757"/>
    </row>
    <row r="1371" spans="1:12" hidden="1">
      <c r="A1371" s="689" t="s">
        <v>409</v>
      </c>
      <c r="B1371" s="750" t="s">
        <v>432</v>
      </c>
      <c r="C1371" s="705"/>
      <c r="D1371" s="705"/>
      <c r="E1371" s="735"/>
      <c r="F1371" s="736" t="s">
        <v>319</v>
      </c>
      <c r="G1371" s="727"/>
      <c r="H1371" s="704"/>
      <c r="I1371" s="705" t="s">
        <v>429</v>
      </c>
      <c r="J1371" s="738">
        <v>40</v>
      </c>
      <c r="K1371" s="709"/>
      <c r="L1371" s="757"/>
    </row>
    <row r="1372" spans="1:12" hidden="1">
      <c r="A1372" s="689" t="s">
        <v>409</v>
      </c>
      <c r="B1372" s="750" t="s">
        <v>432</v>
      </c>
      <c r="C1372" s="705"/>
      <c r="D1372" s="705"/>
      <c r="E1372" s="735"/>
      <c r="F1372" s="736" t="s">
        <v>319</v>
      </c>
      <c r="G1372" s="727"/>
      <c r="H1372" s="704"/>
      <c r="I1372" s="705" t="s">
        <v>434</v>
      </c>
      <c r="J1372" s="738">
        <f>J1371</f>
        <v>40</v>
      </c>
      <c r="K1372" s="709"/>
      <c r="L1372" s="757"/>
    </row>
    <row r="1373" spans="1:12" hidden="1">
      <c r="A1373" s="689" t="s">
        <v>409</v>
      </c>
      <c r="B1373" s="750" t="s">
        <v>432</v>
      </c>
      <c r="C1373" s="705"/>
      <c r="D1373" s="705"/>
      <c r="E1373" s="735"/>
      <c r="F1373" s="736" t="s">
        <v>319</v>
      </c>
      <c r="G1373" s="727"/>
      <c r="H1373" s="704"/>
      <c r="I1373" s="705" t="s">
        <v>424</v>
      </c>
      <c r="J1373" s="738">
        <v>30</v>
      </c>
      <c r="K1373" s="709"/>
      <c r="L1373" s="757"/>
    </row>
    <row r="1374" spans="1:12" hidden="1">
      <c r="A1374" s="689" t="s">
        <v>409</v>
      </c>
      <c r="B1374" s="750" t="s">
        <v>435</v>
      </c>
      <c r="C1374" s="705"/>
      <c r="D1374" s="705"/>
      <c r="E1374" s="735"/>
      <c r="F1374" s="736" t="s">
        <v>319</v>
      </c>
      <c r="G1374" s="727">
        <v>120</v>
      </c>
      <c r="H1374" s="704"/>
      <c r="I1374" s="705"/>
      <c r="J1374" s="738">
        <v>40</v>
      </c>
      <c r="K1374" s="709"/>
      <c r="L1374" s="757"/>
    </row>
    <row r="1375" spans="1:12" hidden="1">
      <c r="A1375" s="689" t="s">
        <v>409</v>
      </c>
      <c r="B1375" s="776"/>
      <c r="C1375" s="691"/>
      <c r="D1375" s="691"/>
      <c r="E1375" s="692"/>
      <c r="F1375" s="693"/>
      <c r="G1375" s="723"/>
      <c r="H1375" s="695"/>
      <c r="I1375" s="691"/>
      <c r="J1375" s="690"/>
      <c r="K1375" s="709"/>
      <c r="L1375" s="757"/>
    </row>
    <row r="1376" spans="1:12" hidden="1">
      <c r="A1376" s="689" t="s">
        <v>409</v>
      </c>
      <c r="B1376" s="769" t="s">
        <v>436</v>
      </c>
      <c r="C1376" s="705"/>
      <c r="D1376" s="705"/>
      <c r="E1376" s="735"/>
      <c r="F1376" s="736" t="s">
        <v>319</v>
      </c>
      <c r="G1376" s="727"/>
      <c r="H1376" s="704"/>
      <c r="I1376" s="705"/>
      <c r="J1376" s="738">
        <v>150</v>
      </c>
      <c r="K1376" s="709"/>
      <c r="L1376" s="757"/>
    </row>
    <row r="1377" spans="1:12" hidden="1">
      <c r="A1377" s="689" t="s">
        <v>409</v>
      </c>
      <c r="B1377" s="769" t="s">
        <v>437</v>
      </c>
      <c r="C1377" s="705"/>
      <c r="D1377" s="705"/>
      <c r="E1377" s="735"/>
      <c r="F1377" s="736" t="s">
        <v>319</v>
      </c>
      <c r="G1377" s="727"/>
      <c r="H1377" s="704"/>
      <c r="I1377" s="705"/>
      <c r="J1377" s="738">
        <v>50</v>
      </c>
      <c r="K1377" s="709"/>
      <c r="L1377" s="757"/>
    </row>
    <row r="1378" spans="1:12" hidden="1">
      <c r="A1378" s="689" t="s">
        <v>409</v>
      </c>
      <c r="B1378" s="769" t="s">
        <v>438</v>
      </c>
      <c r="C1378" s="705"/>
      <c r="D1378" s="705"/>
      <c r="E1378" s="735"/>
      <c r="F1378" s="736" t="s">
        <v>319</v>
      </c>
      <c r="G1378" s="727"/>
      <c r="H1378" s="704"/>
      <c r="I1378" s="705"/>
      <c r="J1378" s="738">
        <v>200</v>
      </c>
      <c r="K1378" s="709"/>
      <c r="L1378" s="757"/>
    </row>
    <row r="1379" spans="1:12" hidden="1">
      <c r="A1379" s="689" t="s">
        <v>409</v>
      </c>
      <c r="B1379" s="774"/>
      <c r="C1379" s="691"/>
      <c r="D1379" s="691"/>
      <c r="E1379" s="692"/>
      <c r="F1379" s="693"/>
      <c r="G1379" s="723"/>
      <c r="H1379" s="695"/>
      <c r="I1379" s="691"/>
      <c r="J1379" s="690"/>
      <c r="K1379" s="709"/>
      <c r="L1379" s="757"/>
    </row>
    <row r="1380" spans="1:12" hidden="1">
      <c r="A1380" s="689" t="s">
        <v>409</v>
      </c>
      <c r="B1380" s="769" t="s">
        <v>439</v>
      </c>
      <c r="C1380" s="705"/>
      <c r="D1380" s="705"/>
      <c r="E1380" s="735"/>
      <c r="F1380" s="736" t="s">
        <v>319</v>
      </c>
      <c r="G1380" s="727"/>
      <c r="H1380" s="704"/>
      <c r="I1380" s="705"/>
      <c r="J1380" s="738">
        <v>120</v>
      </c>
      <c r="K1380" s="709"/>
      <c r="L1380" s="757"/>
    </row>
    <row r="1381" spans="1:12" hidden="1">
      <c r="A1381" s="689" t="s">
        <v>409</v>
      </c>
      <c r="B1381" s="769" t="s">
        <v>440</v>
      </c>
      <c r="C1381" s="705"/>
      <c r="D1381" s="705"/>
      <c r="E1381" s="735"/>
      <c r="F1381" s="736" t="s">
        <v>319</v>
      </c>
      <c r="G1381" s="727"/>
      <c r="H1381" s="704"/>
      <c r="I1381" s="705"/>
      <c r="J1381" s="738">
        <v>120</v>
      </c>
      <c r="K1381" s="709"/>
      <c r="L1381" s="757"/>
    </row>
    <row r="1382" spans="1:12" hidden="1">
      <c r="A1382" s="689" t="s">
        <v>409</v>
      </c>
      <c r="B1382" s="769" t="s">
        <v>441</v>
      </c>
      <c r="C1382" s="705"/>
      <c r="D1382" s="705"/>
      <c r="E1382" s="735"/>
      <c r="F1382" s="736" t="s">
        <v>319</v>
      </c>
      <c r="G1382" s="727"/>
      <c r="H1382" s="704"/>
      <c r="I1382" s="705"/>
      <c r="J1382" s="738">
        <v>150</v>
      </c>
      <c r="K1382" s="709"/>
      <c r="L1382" s="757"/>
    </row>
    <row r="1383" spans="1:12" hidden="1">
      <c r="A1383" s="689" t="s">
        <v>409</v>
      </c>
      <c r="B1383" s="769" t="s">
        <v>442</v>
      </c>
      <c r="C1383" s="705"/>
      <c r="D1383" s="705"/>
      <c r="E1383" s="735"/>
      <c r="F1383" s="736" t="s">
        <v>319</v>
      </c>
      <c r="G1383" s="727"/>
      <c r="H1383" s="704"/>
      <c r="I1383" s="705"/>
      <c r="J1383" s="738">
        <v>100</v>
      </c>
      <c r="K1383" s="709"/>
      <c r="L1383" s="757"/>
    </row>
    <row r="1384" spans="1:12" hidden="1">
      <c r="A1384" s="689" t="s">
        <v>409</v>
      </c>
      <c r="B1384" s="769" t="s">
        <v>443</v>
      </c>
      <c r="C1384" s="705"/>
      <c r="D1384" s="705"/>
      <c r="E1384" s="735"/>
      <c r="F1384" s="736" t="s">
        <v>319</v>
      </c>
      <c r="G1384" s="727"/>
      <c r="H1384" s="704"/>
      <c r="I1384" s="705"/>
      <c r="J1384" s="738">
        <v>100</v>
      </c>
      <c r="K1384" s="709"/>
      <c r="L1384" s="757"/>
    </row>
    <row r="1385" spans="1:12" hidden="1">
      <c r="A1385" s="689" t="s">
        <v>409</v>
      </c>
      <c r="B1385" s="722"/>
      <c r="C1385" s="691"/>
      <c r="D1385" s="691"/>
      <c r="E1385" s="692"/>
      <c r="F1385" s="693"/>
      <c r="G1385" s="723"/>
      <c r="H1385" s="695"/>
      <c r="I1385" s="691"/>
      <c r="J1385" s="690"/>
      <c r="K1385" s="709"/>
      <c r="L1385" s="757"/>
    </row>
    <row r="1386" spans="1:12" hidden="1">
      <c r="A1386" s="689" t="s">
        <v>409</v>
      </c>
      <c r="B1386" s="790" t="s">
        <v>444</v>
      </c>
      <c r="C1386" s="705"/>
      <c r="D1386" s="705"/>
      <c r="E1386" s="735"/>
      <c r="F1386" s="736" t="s">
        <v>319</v>
      </c>
      <c r="G1386" s="727"/>
      <c r="H1386" s="704"/>
      <c r="I1386" s="705"/>
      <c r="J1386" s="738">
        <v>200</v>
      </c>
      <c r="K1386" s="709"/>
      <c r="L1386" s="757"/>
    </row>
    <row r="1387" spans="1:12" hidden="1">
      <c r="A1387" s="689" t="s">
        <v>409</v>
      </c>
      <c r="B1387" s="790" t="s">
        <v>445</v>
      </c>
      <c r="C1387" s="705"/>
      <c r="D1387" s="705"/>
      <c r="E1387" s="735"/>
      <c r="F1387" s="736" t="s">
        <v>319</v>
      </c>
      <c r="G1387" s="727"/>
      <c r="H1387" s="704"/>
      <c r="I1387" s="705"/>
      <c r="J1387" s="738">
        <v>300</v>
      </c>
      <c r="K1387" s="709"/>
      <c r="L1387" s="757"/>
    </row>
    <row r="1388" spans="1:12" hidden="1">
      <c r="A1388" s="689"/>
      <c r="B1388" s="691"/>
      <c r="C1388" s="691"/>
      <c r="D1388" s="691"/>
      <c r="E1388" s="692"/>
      <c r="F1388" s="693"/>
      <c r="G1388" s="723"/>
      <c r="H1388" s="695"/>
      <c r="I1388" s="691"/>
      <c r="J1388" s="690"/>
      <c r="K1388" s="709"/>
      <c r="L1388" s="757"/>
    </row>
    <row r="1389" spans="1:12" hidden="1">
      <c r="A1389" s="689" t="s">
        <v>340</v>
      </c>
      <c r="B1389" s="769" t="s">
        <v>446</v>
      </c>
      <c r="C1389" s="705"/>
      <c r="D1389" s="705"/>
      <c r="E1389" s="735"/>
      <c r="F1389" s="736" t="s">
        <v>319</v>
      </c>
      <c r="G1389" s="727"/>
      <c r="H1389" s="704"/>
      <c r="I1389" s="705"/>
      <c r="J1389" s="791">
        <v>2800</v>
      </c>
      <c r="K1389" s="709"/>
      <c r="L1389" s="757"/>
    </row>
    <row r="1390" spans="1:12" hidden="1">
      <c r="A1390" s="689" t="s">
        <v>340</v>
      </c>
      <c r="B1390" s="724" t="s">
        <v>447</v>
      </c>
      <c r="C1390" s="705"/>
      <c r="D1390" s="705"/>
      <c r="E1390" s="735"/>
      <c r="F1390" s="736" t="s">
        <v>319</v>
      </c>
      <c r="G1390" s="727"/>
      <c r="H1390" s="704"/>
      <c r="I1390" s="705"/>
      <c r="J1390" s="791">
        <v>2800</v>
      </c>
      <c r="K1390" s="709"/>
      <c r="L1390" s="757"/>
    </row>
    <row r="1391" spans="1:12" hidden="1">
      <c r="A1391" s="689" t="s">
        <v>400</v>
      </c>
      <c r="B1391" s="738" t="s">
        <v>448</v>
      </c>
      <c r="C1391" s="705"/>
      <c r="D1391" s="705"/>
      <c r="E1391" s="735"/>
      <c r="F1391" s="736" t="s">
        <v>319</v>
      </c>
      <c r="G1391" s="727"/>
      <c r="H1391" s="704"/>
      <c r="I1391" s="705"/>
      <c r="J1391" s="738">
        <v>4000</v>
      </c>
      <c r="K1391" s="709"/>
      <c r="L1391" s="757"/>
    </row>
    <row r="1392" spans="1:12" hidden="1">
      <c r="A1392" s="689" t="s">
        <v>143</v>
      </c>
      <c r="B1392" s="769" t="s">
        <v>449</v>
      </c>
      <c r="C1392" s="705"/>
      <c r="D1392" s="705"/>
      <c r="E1392" s="735"/>
      <c r="F1392" s="736" t="s">
        <v>319</v>
      </c>
      <c r="G1392" s="727"/>
      <c r="H1392" s="704"/>
      <c r="I1392" s="705"/>
      <c r="J1392" s="738">
        <v>2000</v>
      </c>
      <c r="K1392" s="709"/>
      <c r="L1392" s="757"/>
    </row>
    <row r="1393" spans="1:12" hidden="1">
      <c r="A1393" s="689" t="s">
        <v>143</v>
      </c>
      <c r="B1393" s="769" t="s">
        <v>450</v>
      </c>
      <c r="C1393" s="705"/>
      <c r="D1393" s="705"/>
      <c r="E1393" s="735"/>
      <c r="F1393" s="736" t="s">
        <v>319</v>
      </c>
      <c r="G1393" s="727"/>
      <c r="H1393" s="704"/>
      <c r="I1393" s="705"/>
      <c r="J1393" s="738">
        <v>500</v>
      </c>
      <c r="K1393" s="709"/>
      <c r="L1393" s="757"/>
    </row>
    <row r="1394" spans="1:12" hidden="1">
      <c r="A1394" s="689" t="s">
        <v>143</v>
      </c>
      <c r="B1394" s="750" t="s">
        <v>451</v>
      </c>
      <c r="C1394" s="725"/>
      <c r="D1394" s="725"/>
      <c r="E1394" s="792"/>
      <c r="F1394" s="736" t="s">
        <v>319</v>
      </c>
      <c r="G1394" s="793"/>
      <c r="H1394" s="704"/>
      <c r="I1394" s="823" t="s">
        <v>452</v>
      </c>
      <c r="J1394" s="794">
        <v>500</v>
      </c>
      <c r="K1394" s="709"/>
      <c r="L1394" s="757"/>
    </row>
    <row r="1395" spans="1:12" hidden="1">
      <c r="A1395" s="689" t="s">
        <v>143</v>
      </c>
      <c r="B1395" s="750" t="s">
        <v>451</v>
      </c>
      <c r="C1395" s="725"/>
      <c r="D1395" s="725"/>
      <c r="E1395" s="792"/>
      <c r="F1395" s="736" t="s">
        <v>319</v>
      </c>
      <c r="G1395" s="793"/>
      <c r="H1395" s="704"/>
      <c r="I1395" s="823" t="s">
        <v>453</v>
      </c>
      <c r="J1395" s="794">
        <v>650</v>
      </c>
      <c r="K1395" s="709"/>
      <c r="L1395" s="757"/>
    </row>
    <row r="1396" spans="1:12" hidden="1">
      <c r="A1396" s="689" t="s">
        <v>143</v>
      </c>
      <c r="B1396" s="750" t="s">
        <v>451</v>
      </c>
      <c r="C1396" s="725"/>
      <c r="D1396" s="725"/>
      <c r="E1396" s="792"/>
      <c r="F1396" s="736" t="s">
        <v>319</v>
      </c>
      <c r="G1396" s="793"/>
      <c r="H1396" s="704"/>
      <c r="I1396" s="823" t="s">
        <v>454</v>
      </c>
      <c r="J1396" s="794">
        <v>800</v>
      </c>
      <c r="K1396" s="709"/>
      <c r="L1396" s="757"/>
    </row>
    <row r="1397" spans="1:12" ht="20.25" hidden="1">
      <c r="A1397" s="689" t="s">
        <v>143</v>
      </c>
      <c r="B1397" s="750" t="s">
        <v>455</v>
      </c>
      <c r="C1397" s="750"/>
      <c r="D1397" s="725"/>
      <c r="E1397" s="792"/>
      <c r="F1397" s="736" t="s">
        <v>319</v>
      </c>
      <c r="G1397" s="793"/>
      <c r="H1397" s="704"/>
      <c r="I1397" s="795"/>
      <c r="J1397" s="752">
        <v>800</v>
      </c>
      <c r="K1397" s="709"/>
      <c r="L1397" s="757"/>
    </row>
    <row r="1398" spans="1:12" hidden="1">
      <c r="A1398" s="689"/>
      <c r="B1398" s="691"/>
      <c r="C1398" s="691"/>
      <c r="D1398" s="691"/>
      <c r="E1398" s="692"/>
      <c r="F1398" s="693"/>
      <c r="G1398" s="723"/>
      <c r="H1398" s="695"/>
      <c r="I1398" s="691"/>
      <c r="J1398" s="690"/>
      <c r="K1398" s="709"/>
      <c r="L1398" s="757"/>
    </row>
    <row r="1399" spans="1:12" hidden="1">
      <c r="A1399" s="689" t="s">
        <v>143</v>
      </c>
      <c r="B1399" s="750" t="s">
        <v>456</v>
      </c>
      <c r="C1399" s="705"/>
      <c r="D1399" s="705"/>
      <c r="E1399" s="735"/>
      <c r="F1399" s="736" t="s">
        <v>319</v>
      </c>
      <c r="G1399" s="727"/>
      <c r="H1399" s="704"/>
      <c r="I1399" s="777" t="s">
        <v>457</v>
      </c>
      <c r="J1399" s="752">
        <v>300</v>
      </c>
      <c r="K1399" s="709"/>
      <c r="L1399" s="757"/>
    </row>
    <row r="1400" spans="1:12" hidden="1">
      <c r="A1400" s="689" t="s">
        <v>143</v>
      </c>
      <c r="B1400" s="750" t="s">
        <v>456</v>
      </c>
      <c r="C1400" s="705"/>
      <c r="D1400" s="705"/>
      <c r="E1400" s="735"/>
      <c r="F1400" s="736" t="s">
        <v>319</v>
      </c>
      <c r="G1400" s="727"/>
      <c r="H1400" s="704"/>
      <c r="I1400" s="777" t="s">
        <v>458</v>
      </c>
      <c r="J1400" s="752">
        <v>650</v>
      </c>
      <c r="K1400" s="709"/>
      <c r="L1400" s="757"/>
    </row>
    <row r="1401" spans="1:12" hidden="1">
      <c r="A1401" s="689" t="s">
        <v>143</v>
      </c>
      <c r="B1401" s="750" t="s">
        <v>456</v>
      </c>
      <c r="C1401" s="705"/>
      <c r="D1401" s="705"/>
      <c r="E1401" s="735"/>
      <c r="F1401" s="736" t="s">
        <v>319</v>
      </c>
      <c r="G1401" s="727"/>
      <c r="H1401" s="704"/>
      <c r="I1401" s="777" t="s">
        <v>459</v>
      </c>
      <c r="J1401" s="752">
        <v>1400</v>
      </c>
      <c r="K1401" s="709"/>
      <c r="L1401" s="757"/>
    </row>
    <row r="1402" spans="1:12" hidden="1">
      <c r="A1402" s="689" t="s">
        <v>143</v>
      </c>
      <c r="B1402" s="750" t="s">
        <v>460</v>
      </c>
      <c r="C1402" s="705"/>
      <c r="D1402" s="705"/>
      <c r="E1402" s="735"/>
      <c r="F1402" s="736" t="s">
        <v>319</v>
      </c>
      <c r="G1402" s="727"/>
      <c r="H1402" s="704"/>
      <c r="I1402" s="705"/>
      <c r="J1402" s="752">
        <v>2500</v>
      </c>
      <c r="K1402" s="709"/>
      <c r="L1402" s="757"/>
    </row>
    <row r="1403" spans="1:12" hidden="1">
      <c r="A1403" s="731" t="s">
        <v>461</v>
      </c>
      <c r="B1403" s="750" t="s">
        <v>462</v>
      </c>
      <c r="C1403" s="705"/>
      <c r="D1403" s="705"/>
      <c r="E1403" s="735"/>
      <c r="F1403" s="736" t="s">
        <v>319</v>
      </c>
      <c r="G1403" s="727"/>
      <c r="H1403" s="704"/>
      <c r="I1403" s="777" t="s">
        <v>463</v>
      </c>
      <c r="J1403" s="752">
        <v>1000</v>
      </c>
      <c r="K1403" s="709"/>
      <c r="L1403" s="757"/>
    </row>
    <row r="1404" spans="1:12" hidden="1">
      <c r="A1404" s="731" t="s">
        <v>461</v>
      </c>
      <c r="B1404" s="750" t="s">
        <v>462</v>
      </c>
      <c r="C1404" s="705"/>
      <c r="D1404" s="705"/>
      <c r="E1404" s="735"/>
      <c r="F1404" s="736" t="s">
        <v>319</v>
      </c>
      <c r="G1404" s="727"/>
      <c r="H1404" s="704"/>
      <c r="I1404" s="777" t="s">
        <v>464</v>
      </c>
      <c r="J1404" s="752">
        <v>1400</v>
      </c>
      <c r="K1404" s="709"/>
      <c r="L1404" s="757"/>
    </row>
    <row r="1405" spans="1:12" hidden="1">
      <c r="A1405" s="731" t="s">
        <v>461</v>
      </c>
      <c r="B1405" s="750" t="s">
        <v>462</v>
      </c>
      <c r="C1405" s="705"/>
      <c r="D1405" s="705"/>
      <c r="E1405" s="735"/>
      <c r="F1405" s="736" t="s">
        <v>319</v>
      </c>
      <c r="G1405" s="727"/>
      <c r="H1405" s="704"/>
      <c r="I1405" s="777" t="s">
        <v>465</v>
      </c>
      <c r="J1405" s="752">
        <v>2000</v>
      </c>
      <c r="K1405" s="709"/>
      <c r="L1405" s="757"/>
    </row>
    <row r="1406" spans="1:12" hidden="1">
      <c r="A1406" s="731" t="s">
        <v>461</v>
      </c>
      <c r="B1406" s="750" t="s">
        <v>462</v>
      </c>
      <c r="C1406" s="705"/>
      <c r="D1406" s="705"/>
      <c r="E1406" s="735"/>
      <c r="F1406" s="736" t="s">
        <v>319</v>
      </c>
      <c r="G1406" s="727"/>
      <c r="H1406" s="704"/>
      <c r="I1406" s="777" t="s">
        <v>466</v>
      </c>
      <c r="J1406" s="752">
        <v>3500</v>
      </c>
      <c r="K1406" s="709"/>
      <c r="L1406" s="757"/>
    </row>
    <row r="1407" spans="1:12" hidden="1">
      <c r="A1407" s="731" t="s">
        <v>461</v>
      </c>
      <c r="B1407" s="750" t="s">
        <v>467</v>
      </c>
      <c r="C1407" s="705"/>
      <c r="D1407" s="705"/>
      <c r="E1407" s="735"/>
      <c r="F1407" s="736" t="s">
        <v>319</v>
      </c>
      <c r="G1407" s="727"/>
      <c r="H1407" s="704"/>
      <c r="I1407" s="705"/>
      <c r="J1407" s="752">
        <v>200</v>
      </c>
      <c r="K1407" s="709"/>
      <c r="L1407" s="757"/>
    </row>
    <row r="1408" spans="1:12" hidden="1">
      <c r="A1408" s="689"/>
      <c r="B1408" s="754"/>
      <c r="C1408" s="691"/>
      <c r="D1408" s="691"/>
      <c r="E1408" s="692"/>
      <c r="F1408" s="693"/>
      <c r="G1408" s="723"/>
      <c r="H1408" s="695"/>
      <c r="I1408" s="691"/>
      <c r="J1408" s="753"/>
      <c r="K1408" s="709"/>
      <c r="L1408" s="757"/>
    </row>
    <row r="1409" spans="1:12" hidden="1">
      <c r="A1409" s="689" t="s">
        <v>468</v>
      </c>
      <c r="B1409" s="750" t="s">
        <v>469</v>
      </c>
      <c r="C1409" s="705"/>
      <c r="D1409" s="705"/>
      <c r="E1409" s="735"/>
      <c r="F1409" s="736" t="s">
        <v>319</v>
      </c>
      <c r="G1409" s="727"/>
      <c r="H1409" s="704"/>
      <c r="I1409" s="777" t="s">
        <v>470</v>
      </c>
      <c r="J1409" s="752">
        <f>J1403</f>
        <v>1000</v>
      </c>
      <c r="K1409" s="709"/>
      <c r="L1409" s="757"/>
    </row>
    <row r="1410" spans="1:12" hidden="1">
      <c r="A1410" s="689" t="s">
        <v>468</v>
      </c>
      <c r="B1410" s="750" t="s">
        <v>469</v>
      </c>
      <c r="C1410" s="705"/>
      <c r="D1410" s="705"/>
      <c r="E1410" s="735"/>
      <c r="F1410" s="736" t="s">
        <v>319</v>
      </c>
      <c r="G1410" s="727"/>
      <c r="H1410" s="704"/>
      <c r="I1410" s="777" t="s">
        <v>471</v>
      </c>
      <c r="J1410" s="752">
        <f t="shared" ref="J1410:J1412" si="36">J1404</f>
        <v>1400</v>
      </c>
      <c r="K1410" s="709"/>
      <c r="L1410" s="757"/>
    </row>
    <row r="1411" spans="1:12" hidden="1">
      <c r="A1411" s="689" t="s">
        <v>468</v>
      </c>
      <c r="B1411" s="750" t="s">
        <v>469</v>
      </c>
      <c r="C1411" s="705"/>
      <c r="D1411" s="705"/>
      <c r="E1411" s="735"/>
      <c r="F1411" s="736" t="s">
        <v>319</v>
      </c>
      <c r="G1411" s="727"/>
      <c r="H1411" s="704"/>
      <c r="I1411" s="777" t="s">
        <v>472</v>
      </c>
      <c r="J1411" s="752">
        <f t="shared" si="36"/>
        <v>2000</v>
      </c>
      <c r="K1411" s="709"/>
      <c r="L1411" s="757"/>
    </row>
    <row r="1412" spans="1:12" hidden="1">
      <c r="A1412" s="689" t="s">
        <v>468</v>
      </c>
      <c r="B1412" s="750" t="s">
        <v>469</v>
      </c>
      <c r="C1412" s="705"/>
      <c r="D1412" s="705"/>
      <c r="E1412" s="735"/>
      <c r="F1412" s="736" t="s">
        <v>319</v>
      </c>
      <c r="G1412" s="727"/>
      <c r="H1412" s="704"/>
      <c r="I1412" s="777" t="s">
        <v>473</v>
      </c>
      <c r="J1412" s="752">
        <f t="shared" si="36"/>
        <v>3500</v>
      </c>
      <c r="K1412" s="709"/>
      <c r="L1412" s="757"/>
    </row>
    <row r="1413" spans="1:12" hidden="1">
      <c r="A1413" s="689"/>
      <c r="B1413" s="691"/>
      <c r="C1413" s="691"/>
      <c r="D1413" s="691"/>
      <c r="E1413" s="692"/>
      <c r="F1413" s="693"/>
      <c r="G1413" s="723"/>
      <c r="H1413" s="695"/>
      <c r="I1413" s="691"/>
      <c r="J1413" s="690"/>
      <c r="K1413" s="709"/>
      <c r="L1413" s="757"/>
    </row>
    <row r="1414" spans="1:12" hidden="1">
      <c r="A1414" s="689" t="s">
        <v>474</v>
      </c>
      <c r="B1414" s="750" t="s">
        <v>475</v>
      </c>
      <c r="C1414" s="705"/>
      <c r="D1414" s="705"/>
      <c r="E1414" s="735"/>
      <c r="F1414" s="736" t="s">
        <v>319</v>
      </c>
      <c r="G1414" s="828">
        <f>'robocizna GCH'!F287</f>
        <v>180</v>
      </c>
      <c r="H1414" s="704"/>
      <c r="I1414" s="705"/>
      <c r="J1414" s="752">
        <v>65</v>
      </c>
      <c r="K1414" s="709"/>
      <c r="L1414" s="757"/>
    </row>
    <row r="1415" spans="1:12" hidden="1">
      <c r="A1415" s="689" t="s">
        <v>474</v>
      </c>
      <c r="B1415" s="750" t="s">
        <v>476</v>
      </c>
      <c r="C1415" s="705"/>
      <c r="D1415" s="705"/>
      <c r="E1415" s="735"/>
      <c r="F1415" s="736" t="s">
        <v>319</v>
      </c>
      <c r="G1415" s="828">
        <f>'robocizna GCH'!F288</f>
        <v>85</v>
      </c>
      <c r="H1415" s="704"/>
      <c r="I1415" s="705"/>
      <c r="J1415" s="752">
        <v>48</v>
      </c>
      <c r="K1415" s="709"/>
      <c r="L1415" s="757"/>
    </row>
    <row r="1416" spans="1:12" hidden="1">
      <c r="A1416" s="689" t="s">
        <v>477</v>
      </c>
      <c r="B1416" s="750" t="s">
        <v>478</v>
      </c>
      <c r="C1416" s="705"/>
      <c r="D1416" s="705"/>
      <c r="E1416" s="735"/>
      <c r="F1416" s="736" t="s">
        <v>319</v>
      </c>
      <c r="G1416" s="828">
        <f>'robocizna GCH'!F289</f>
        <v>35</v>
      </c>
      <c r="H1416" s="704"/>
      <c r="I1416" s="705"/>
      <c r="J1416" s="752">
        <v>25</v>
      </c>
      <c r="K1416" s="709"/>
      <c r="L1416" s="757"/>
    </row>
    <row r="1417" spans="1:12" hidden="1">
      <c r="A1417" s="689" t="s">
        <v>479</v>
      </c>
      <c r="B1417" s="750" t="s">
        <v>480</v>
      </c>
      <c r="C1417" s="705" t="s">
        <v>47</v>
      </c>
      <c r="D1417" s="705"/>
      <c r="E1417" s="735"/>
      <c r="F1417" s="736" t="s">
        <v>319</v>
      </c>
      <c r="G1417" s="828">
        <f>'robocizna GCH'!F290</f>
        <v>35</v>
      </c>
      <c r="H1417" s="704"/>
      <c r="I1417" s="705"/>
      <c r="J1417" s="752">
        <v>25</v>
      </c>
      <c r="K1417" s="709"/>
      <c r="L1417" s="757"/>
    </row>
    <row r="1418" spans="1:12" hidden="1">
      <c r="A1418" s="689" t="s">
        <v>468</v>
      </c>
      <c r="B1418" s="750" t="s">
        <v>481</v>
      </c>
      <c r="C1418" s="705"/>
      <c r="D1418" s="705"/>
      <c r="E1418" s="735"/>
      <c r="F1418" s="736" t="s">
        <v>319</v>
      </c>
      <c r="G1418" s="828">
        <f>'robocizna GCH'!F291</f>
        <v>0</v>
      </c>
      <c r="H1418" s="704"/>
      <c r="I1418" s="705"/>
      <c r="J1418" s="752">
        <v>200</v>
      </c>
      <c r="K1418" s="709"/>
      <c r="L1418" s="757"/>
    </row>
    <row r="1419" spans="1:12" hidden="1">
      <c r="A1419" s="689" t="s">
        <v>468</v>
      </c>
      <c r="B1419" s="750" t="s">
        <v>482</v>
      </c>
      <c r="C1419" s="705"/>
      <c r="D1419" s="705"/>
      <c r="E1419" s="735"/>
      <c r="F1419" s="736" t="s">
        <v>319</v>
      </c>
      <c r="G1419" s="828">
        <f>'robocizna GCH'!F292</f>
        <v>0</v>
      </c>
      <c r="H1419" s="704"/>
      <c r="I1419" s="705"/>
      <c r="J1419" s="752">
        <v>200</v>
      </c>
      <c r="K1419" s="709"/>
      <c r="L1419" s="757"/>
    </row>
    <row r="1420" spans="1:12" hidden="1">
      <c r="A1420" s="689"/>
      <c r="B1420" s="691"/>
      <c r="C1420" s="691"/>
      <c r="D1420" s="691"/>
      <c r="E1420" s="692"/>
      <c r="F1420" s="693"/>
      <c r="G1420" s="723"/>
      <c r="H1420" s="695"/>
      <c r="I1420" s="691"/>
      <c r="J1420" s="690"/>
      <c r="K1420" s="709"/>
      <c r="L1420" s="757"/>
    </row>
    <row r="1421" spans="1:12" hidden="1">
      <c r="A1421" s="689" t="s">
        <v>483</v>
      </c>
      <c r="B1421" s="750" t="s">
        <v>484</v>
      </c>
      <c r="C1421" s="705"/>
      <c r="D1421" s="705"/>
      <c r="E1421" s="735"/>
      <c r="F1421" s="736" t="s">
        <v>319</v>
      </c>
      <c r="G1421" s="727"/>
      <c r="H1421" s="704"/>
      <c r="I1421" s="777" t="s">
        <v>485</v>
      </c>
      <c r="J1421" s="752">
        <v>250</v>
      </c>
      <c r="K1421" s="709"/>
      <c r="L1421" s="757"/>
    </row>
    <row r="1422" spans="1:12" hidden="1">
      <c r="A1422" s="689" t="s">
        <v>483</v>
      </c>
      <c r="B1422" s="750" t="s">
        <v>484</v>
      </c>
      <c r="C1422" s="705"/>
      <c r="D1422" s="705"/>
      <c r="E1422" s="735"/>
      <c r="F1422" s="736" t="s">
        <v>319</v>
      </c>
      <c r="G1422" s="727"/>
      <c r="H1422" s="704"/>
      <c r="I1422" s="777" t="s">
        <v>486</v>
      </c>
      <c r="J1422" s="752">
        <v>280</v>
      </c>
      <c r="K1422" s="709"/>
      <c r="L1422" s="757"/>
    </row>
    <row r="1423" spans="1:12" hidden="1">
      <c r="A1423" s="689" t="s">
        <v>483</v>
      </c>
      <c r="B1423" s="750" t="s">
        <v>484</v>
      </c>
      <c r="C1423" s="705"/>
      <c r="D1423" s="705"/>
      <c r="E1423" s="735"/>
      <c r="F1423" s="736" t="s">
        <v>319</v>
      </c>
      <c r="G1423" s="727"/>
      <c r="H1423" s="704"/>
      <c r="I1423" s="777" t="s">
        <v>487</v>
      </c>
      <c r="J1423" s="752">
        <v>380</v>
      </c>
      <c r="K1423" s="709"/>
      <c r="L1423" s="757"/>
    </row>
    <row r="1424" spans="1:12" hidden="1">
      <c r="A1424" s="689"/>
      <c r="B1424" s="690"/>
      <c r="C1424" s="691"/>
      <c r="D1424" s="691"/>
      <c r="E1424" s="692"/>
      <c r="F1424" s="693"/>
      <c r="G1424" s="723"/>
      <c r="H1424" s="695"/>
      <c r="I1424" s="691"/>
      <c r="J1424" s="690"/>
      <c r="K1424" s="709"/>
      <c r="L1424" s="757"/>
    </row>
    <row r="1425" spans="1:12" hidden="1">
      <c r="A1425" s="689" t="s">
        <v>488</v>
      </c>
      <c r="B1425" s="738" t="s">
        <v>489</v>
      </c>
      <c r="C1425" s="705"/>
      <c r="D1425" s="705"/>
      <c r="E1425" s="735"/>
      <c r="F1425" s="736" t="s">
        <v>319</v>
      </c>
      <c r="G1425" s="727"/>
      <c r="H1425" s="704"/>
      <c r="I1425" s="777" t="s">
        <v>490</v>
      </c>
      <c r="J1425" s="752">
        <v>6200</v>
      </c>
      <c r="K1425" s="709"/>
      <c r="L1425" s="757"/>
    </row>
    <row r="1426" spans="1:12" hidden="1">
      <c r="A1426" s="689" t="s">
        <v>488</v>
      </c>
      <c r="B1426" s="738" t="s">
        <v>489</v>
      </c>
      <c r="C1426" s="705"/>
      <c r="D1426" s="705"/>
      <c r="E1426" s="735"/>
      <c r="F1426" s="736" t="s">
        <v>319</v>
      </c>
      <c r="G1426" s="727"/>
      <c r="H1426" s="704"/>
      <c r="I1426" s="777" t="s">
        <v>491</v>
      </c>
      <c r="J1426" s="752">
        <v>11000</v>
      </c>
      <c r="K1426" s="709"/>
      <c r="L1426" s="757"/>
    </row>
    <row r="1427" spans="1:12" hidden="1">
      <c r="A1427" s="689" t="s">
        <v>488</v>
      </c>
      <c r="B1427" s="738" t="s">
        <v>489</v>
      </c>
      <c r="C1427" s="705"/>
      <c r="D1427" s="705"/>
      <c r="E1427" s="735"/>
      <c r="F1427" s="736" t="s">
        <v>319</v>
      </c>
      <c r="G1427" s="727"/>
      <c r="H1427" s="704"/>
      <c r="I1427" s="777" t="s">
        <v>492</v>
      </c>
      <c r="J1427" s="752">
        <v>16000</v>
      </c>
      <c r="K1427" s="709"/>
      <c r="L1427" s="757"/>
    </row>
    <row r="1428" spans="1:12" hidden="1">
      <c r="A1428" s="689" t="s">
        <v>488</v>
      </c>
      <c r="B1428" s="738" t="s">
        <v>489</v>
      </c>
      <c r="C1428" s="796"/>
      <c r="D1428" s="796"/>
      <c r="E1428" s="797"/>
      <c r="F1428" s="736" t="s">
        <v>319</v>
      </c>
      <c r="G1428" s="798"/>
      <c r="H1428" s="799"/>
      <c r="I1428" s="777" t="s">
        <v>493</v>
      </c>
      <c r="J1428" s="752">
        <v>20000</v>
      </c>
      <c r="K1428" s="709"/>
      <c r="L1428" s="757"/>
    </row>
    <row r="1429" spans="1:12" hidden="1">
      <c r="A1429" s="689"/>
      <c r="B1429" s="690"/>
      <c r="C1429" s="691"/>
      <c r="D1429" s="691"/>
      <c r="E1429" s="692"/>
      <c r="F1429" s="693"/>
      <c r="G1429" s="723"/>
      <c r="H1429" s="695"/>
      <c r="I1429" s="691"/>
      <c r="J1429" s="690"/>
      <c r="K1429" s="709"/>
      <c r="L1429" s="757"/>
    </row>
    <row r="1430" spans="1:12" hidden="1">
      <c r="A1430" s="689" t="s">
        <v>488</v>
      </c>
      <c r="B1430" s="738" t="s">
        <v>494</v>
      </c>
      <c r="C1430" s="705"/>
      <c r="D1430" s="705"/>
      <c r="E1430" s="735"/>
      <c r="F1430" s="736" t="s">
        <v>319</v>
      </c>
      <c r="G1430" s="727"/>
      <c r="H1430" s="704"/>
      <c r="I1430" s="777" t="s">
        <v>495</v>
      </c>
      <c r="J1430" s="752">
        <f>J1425</f>
        <v>6200</v>
      </c>
      <c r="K1430" s="709"/>
      <c r="L1430" s="757"/>
    </row>
    <row r="1431" spans="1:12" hidden="1">
      <c r="A1431" s="689" t="s">
        <v>488</v>
      </c>
      <c r="B1431" s="738" t="s">
        <v>494</v>
      </c>
      <c r="C1431" s="705"/>
      <c r="D1431" s="705"/>
      <c r="E1431" s="735"/>
      <c r="F1431" s="736" t="s">
        <v>319</v>
      </c>
      <c r="G1431" s="727"/>
      <c r="H1431" s="704"/>
      <c r="I1431" s="777" t="s">
        <v>496</v>
      </c>
      <c r="J1431" s="752">
        <f>J1426</f>
        <v>11000</v>
      </c>
      <c r="K1431" s="709"/>
      <c r="L1431" s="757"/>
    </row>
    <row r="1432" spans="1:12" hidden="1">
      <c r="A1432" s="689" t="s">
        <v>488</v>
      </c>
      <c r="B1432" s="738" t="s">
        <v>494</v>
      </c>
      <c r="C1432" s="705"/>
      <c r="D1432" s="705"/>
      <c r="E1432" s="735"/>
      <c r="F1432" s="736" t="s">
        <v>319</v>
      </c>
      <c r="G1432" s="727"/>
      <c r="H1432" s="704"/>
      <c r="I1432" s="777" t="s">
        <v>497</v>
      </c>
      <c r="J1432" s="752">
        <f>J1427</f>
        <v>16000</v>
      </c>
      <c r="K1432" s="709"/>
      <c r="L1432" s="757"/>
    </row>
    <row r="1433" spans="1:12" hidden="1">
      <c r="A1433" s="689" t="s">
        <v>488</v>
      </c>
      <c r="B1433" s="738" t="s">
        <v>494</v>
      </c>
      <c r="C1433" s="705"/>
      <c r="D1433" s="705"/>
      <c r="E1433" s="735"/>
      <c r="F1433" s="736" t="s">
        <v>319</v>
      </c>
      <c r="G1433" s="727"/>
      <c r="H1433" s="704"/>
      <c r="I1433" s="777" t="s">
        <v>498</v>
      </c>
      <c r="J1433" s="752">
        <f>J1428</f>
        <v>20000</v>
      </c>
      <c r="K1433" s="709"/>
      <c r="L1433" s="757"/>
    </row>
    <row r="1434" spans="1:12" hidden="1">
      <c r="A1434" s="689"/>
      <c r="B1434" s="690"/>
      <c r="C1434" s="691"/>
      <c r="D1434" s="691"/>
      <c r="E1434" s="692"/>
      <c r="F1434" s="693"/>
      <c r="G1434" s="723"/>
      <c r="H1434" s="695"/>
      <c r="I1434" s="691"/>
      <c r="J1434" s="690"/>
      <c r="K1434" s="709"/>
      <c r="L1434" s="757"/>
    </row>
    <row r="1435" spans="1:12" hidden="1">
      <c r="A1435" s="689" t="s">
        <v>468</v>
      </c>
      <c r="B1435" s="738" t="s">
        <v>499</v>
      </c>
      <c r="C1435" s="705"/>
      <c r="D1435" s="705"/>
      <c r="E1435" s="735"/>
      <c r="F1435" s="736" t="s">
        <v>319</v>
      </c>
      <c r="G1435" s="727"/>
      <c r="H1435" s="704"/>
      <c r="I1435" s="777" t="s">
        <v>500</v>
      </c>
      <c r="J1435" s="752">
        <f>J1425</f>
        <v>6200</v>
      </c>
      <c r="K1435" s="709"/>
      <c r="L1435" s="757"/>
    </row>
    <row r="1436" spans="1:12" hidden="1">
      <c r="A1436" s="689" t="s">
        <v>468</v>
      </c>
      <c r="B1436" s="738" t="s">
        <v>499</v>
      </c>
      <c r="C1436" s="705"/>
      <c r="D1436" s="705"/>
      <c r="E1436" s="735"/>
      <c r="F1436" s="736" t="s">
        <v>319</v>
      </c>
      <c r="G1436" s="727"/>
      <c r="H1436" s="704"/>
      <c r="I1436" s="777" t="s">
        <v>501</v>
      </c>
      <c r="J1436" s="752">
        <f>J1426</f>
        <v>11000</v>
      </c>
      <c r="K1436" s="709"/>
      <c r="L1436" s="757"/>
    </row>
    <row r="1437" spans="1:12" hidden="1">
      <c r="A1437" s="689" t="s">
        <v>468</v>
      </c>
      <c r="B1437" s="738" t="s">
        <v>499</v>
      </c>
      <c r="C1437" s="705"/>
      <c r="D1437" s="705"/>
      <c r="E1437" s="735"/>
      <c r="F1437" s="736" t="s">
        <v>319</v>
      </c>
      <c r="G1437" s="727"/>
      <c r="H1437" s="704"/>
      <c r="I1437" s="777" t="s">
        <v>502</v>
      </c>
      <c r="J1437" s="752">
        <f>J1427</f>
        <v>16000</v>
      </c>
      <c r="K1437" s="709"/>
      <c r="L1437" s="757"/>
    </row>
    <row r="1438" spans="1:12" hidden="1">
      <c r="A1438" s="689" t="s">
        <v>468</v>
      </c>
      <c r="B1438" s="738" t="s">
        <v>499</v>
      </c>
      <c r="C1438" s="705"/>
      <c r="D1438" s="705"/>
      <c r="E1438" s="735"/>
      <c r="F1438" s="736" t="s">
        <v>319</v>
      </c>
      <c r="G1438" s="727"/>
      <c r="H1438" s="704"/>
      <c r="I1438" s="777" t="s">
        <v>503</v>
      </c>
      <c r="J1438" s="752">
        <f>J1428</f>
        <v>20000</v>
      </c>
      <c r="K1438" s="709"/>
      <c r="L1438" s="757"/>
    </row>
    <row r="1439" spans="1:12" hidden="1">
      <c r="A1439" s="689"/>
      <c r="B1439" s="691"/>
      <c r="C1439" s="691"/>
      <c r="D1439" s="691"/>
      <c r="E1439" s="692"/>
      <c r="F1439" s="693"/>
      <c r="G1439" s="723"/>
      <c r="H1439" s="695"/>
      <c r="I1439" s="691"/>
      <c r="J1439" s="690"/>
      <c r="K1439" s="709"/>
      <c r="L1439" s="757"/>
    </row>
    <row r="1440" spans="1:12" hidden="1">
      <c r="A1440" s="689" t="s">
        <v>468</v>
      </c>
      <c r="B1440" s="750" t="s">
        <v>504</v>
      </c>
      <c r="C1440" s="705"/>
      <c r="D1440" s="705"/>
      <c r="E1440" s="735"/>
      <c r="F1440" s="736" t="s">
        <v>319</v>
      </c>
      <c r="G1440" s="727"/>
      <c r="H1440" s="704"/>
      <c r="I1440" s="705"/>
      <c r="J1440" s="752">
        <v>300</v>
      </c>
      <c r="K1440" s="709"/>
      <c r="L1440" s="757"/>
    </row>
    <row r="1441" spans="1:12" hidden="1">
      <c r="A1441" s="689" t="s">
        <v>468</v>
      </c>
      <c r="B1441" s="750" t="s">
        <v>505</v>
      </c>
      <c r="C1441" s="705"/>
      <c r="D1441" s="705"/>
      <c r="E1441" s="735"/>
      <c r="F1441" s="736" t="s">
        <v>319</v>
      </c>
      <c r="G1441" s="727"/>
      <c r="H1441" s="704"/>
      <c r="I1441" s="705"/>
      <c r="J1441" s="752">
        <v>300</v>
      </c>
      <c r="K1441" s="709"/>
      <c r="L1441" s="757"/>
    </row>
    <row r="1442" spans="1:12" ht="20.25" hidden="1">
      <c r="A1442" s="689" t="s">
        <v>468</v>
      </c>
      <c r="B1442" s="750" t="s">
        <v>506</v>
      </c>
      <c r="C1442" s="705"/>
      <c r="D1442" s="705"/>
      <c r="E1442" s="735"/>
      <c r="F1442" s="736" t="s">
        <v>319</v>
      </c>
      <c r="G1442" s="727"/>
      <c r="H1442" s="704"/>
      <c r="I1442" s="705"/>
      <c r="J1442" s="752">
        <v>450</v>
      </c>
      <c r="K1442" s="709"/>
      <c r="L1442" s="757"/>
    </row>
    <row r="1443" spans="1:12" ht="20.25" hidden="1">
      <c r="A1443" s="689" t="s">
        <v>468</v>
      </c>
      <c r="B1443" s="750" t="s">
        <v>507</v>
      </c>
      <c r="C1443" s="705"/>
      <c r="D1443" s="705"/>
      <c r="E1443" s="735"/>
      <c r="F1443" s="736" t="s">
        <v>319</v>
      </c>
      <c r="G1443" s="727"/>
      <c r="H1443" s="704"/>
      <c r="I1443" s="705"/>
      <c r="J1443" s="752">
        <v>250</v>
      </c>
      <c r="K1443" s="709"/>
      <c r="L1443" s="757"/>
    </row>
    <row r="1444" spans="1:12" hidden="1">
      <c r="A1444" s="689" t="s">
        <v>479</v>
      </c>
      <c r="B1444" s="750" t="s">
        <v>508</v>
      </c>
      <c r="C1444" s="705"/>
      <c r="D1444" s="705"/>
      <c r="E1444" s="735"/>
      <c r="F1444" s="736" t="s">
        <v>319</v>
      </c>
      <c r="G1444" s="727"/>
      <c r="H1444" s="704"/>
      <c r="I1444" s="705"/>
      <c r="J1444" s="752">
        <v>25</v>
      </c>
      <c r="K1444" s="709"/>
      <c r="L1444" s="757"/>
    </row>
    <row r="1445" spans="1:12" hidden="1">
      <c r="A1445" s="689" t="s">
        <v>468</v>
      </c>
      <c r="B1445" s="750" t="s">
        <v>509</v>
      </c>
      <c r="C1445" s="705"/>
      <c r="D1445" s="705"/>
      <c r="E1445" s="735"/>
      <c r="F1445" s="736" t="s">
        <v>319</v>
      </c>
      <c r="G1445" s="727"/>
      <c r="H1445" s="704"/>
      <c r="I1445" s="705"/>
      <c r="J1445" s="752">
        <v>100</v>
      </c>
      <c r="K1445" s="709"/>
      <c r="L1445" s="757"/>
    </row>
    <row r="1446" spans="1:12" hidden="1">
      <c r="A1446" s="689" t="s">
        <v>384</v>
      </c>
      <c r="B1446" s="750" t="s">
        <v>510</v>
      </c>
      <c r="C1446" s="705"/>
      <c r="D1446" s="705"/>
      <c r="E1446" s="735"/>
      <c r="F1446" s="736" t="s">
        <v>319</v>
      </c>
      <c r="G1446" s="727">
        <v>500</v>
      </c>
      <c r="H1446" s="704"/>
      <c r="I1446" s="800"/>
      <c r="J1446" s="752">
        <v>100</v>
      </c>
      <c r="K1446" s="709"/>
      <c r="L1446" s="757"/>
    </row>
    <row r="1447" spans="1:12" hidden="1">
      <c r="A1447" s="689" t="s">
        <v>468</v>
      </c>
      <c r="B1447" s="750" t="s">
        <v>511</v>
      </c>
      <c r="C1447" s="705"/>
      <c r="D1447" s="705"/>
      <c r="E1447" s="735"/>
      <c r="F1447" s="736" t="s">
        <v>512</v>
      </c>
      <c r="G1447" s="727">
        <v>500</v>
      </c>
      <c r="H1447" s="704"/>
      <c r="I1447" s="800"/>
      <c r="J1447" s="752">
        <v>150</v>
      </c>
      <c r="K1447" s="709"/>
      <c r="L1447" s="757"/>
    </row>
    <row r="1448" spans="1:12" hidden="1">
      <c r="A1448" s="689"/>
      <c r="B1448" s="691"/>
      <c r="C1448" s="691"/>
      <c r="D1448" s="691"/>
      <c r="E1448" s="692"/>
      <c r="F1448" s="693"/>
      <c r="G1448" s="723"/>
      <c r="H1448" s="695"/>
      <c r="I1448" s="691"/>
      <c r="J1448" s="690"/>
      <c r="K1448" s="709"/>
      <c r="L1448" s="801"/>
    </row>
    <row r="1449" spans="1:12" hidden="1">
      <c r="A1449" s="689" t="s">
        <v>397</v>
      </c>
      <c r="B1449" s="750" t="s">
        <v>513</v>
      </c>
      <c r="C1449" s="705"/>
      <c r="D1449" s="705"/>
      <c r="E1449" s="735"/>
      <c r="F1449" s="736" t="s">
        <v>319</v>
      </c>
      <c r="G1449" s="727"/>
      <c r="H1449" s="704"/>
      <c r="I1449" s="777" t="s">
        <v>514</v>
      </c>
      <c r="J1449" s="752">
        <v>1200</v>
      </c>
      <c r="K1449" s="709"/>
      <c r="L1449" s="801"/>
    </row>
    <row r="1450" spans="1:12" hidden="1">
      <c r="A1450" s="689" t="s">
        <v>397</v>
      </c>
      <c r="B1450" s="750" t="s">
        <v>513</v>
      </c>
      <c r="C1450" s="705"/>
      <c r="D1450" s="705"/>
      <c r="E1450" s="735"/>
      <c r="F1450" s="736" t="s">
        <v>319</v>
      </c>
      <c r="G1450" s="727"/>
      <c r="H1450" s="704"/>
      <c r="I1450" s="777" t="s">
        <v>515</v>
      </c>
      <c r="J1450" s="752">
        <v>1600</v>
      </c>
      <c r="K1450" s="709"/>
      <c r="L1450" s="801"/>
    </row>
    <row r="1451" spans="1:12" hidden="1">
      <c r="A1451" s="689" t="s">
        <v>397</v>
      </c>
      <c r="B1451" s="750" t="s">
        <v>513</v>
      </c>
      <c r="C1451" s="705"/>
      <c r="D1451" s="705"/>
      <c r="E1451" s="735"/>
      <c r="F1451" s="736" t="s">
        <v>319</v>
      </c>
      <c r="G1451" s="727"/>
      <c r="H1451" s="704"/>
      <c r="I1451" s="777" t="s">
        <v>516</v>
      </c>
      <c r="J1451" s="752">
        <v>2500</v>
      </c>
      <c r="K1451" s="709"/>
      <c r="L1451" s="801"/>
    </row>
    <row r="1452" spans="1:12" ht="20.25" hidden="1">
      <c r="A1452" s="689" t="s">
        <v>397</v>
      </c>
      <c r="B1452" s="750" t="s">
        <v>517</v>
      </c>
      <c r="C1452" s="705"/>
      <c r="D1452" s="705"/>
      <c r="E1452" s="735"/>
      <c r="F1452" s="736" t="s">
        <v>319</v>
      </c>
      <c r="G1452" s="727"/>
      <c r="H1452" s="704"/>
      <c r="I1452" s="705"/>
      <c r="J1452" s="752">
        <v>1000</v>
      </c>
      <c r="K1452" s="709"/>
      <c r="L1452" s="801"/>
    </row>
    <row r="1453" spans="1:12" hidden="1">
      <c r="A1453" s="689" t="s">
        <v>397</v>
      </c>
      <c r="B1453" s="750" t="s">
        <v>518</v>
      </c>
      <c r="C1453" s="705"/>
      <c r="D1453" s="705"/>
      <c r="E1453" s="735"/>
      <c r="F1453" s="736" t="s">
        <v>319</v>
      </c>
      <c r="G1453" s="727"/>
      <c r="H1453" s="704"/>
      <c r="I1453" s="705"/>
      <c r="J1453" s="752">
        <v>2200</v>
      </c>
      <c r="K1453" s="709"/>
      <c r="L1453" s="801"/>
    </row>
    <row r="1454" spans="1:12" hidden="1">
      <c r="A1454" s="689" t="s">
        <v>397</v>
      </c>
      <c r="B1454" s="750" t="s">
        <v>519</v>
      </c>
      <c r="C1454" s="705"/>
      <c r="D1454" s="705"/>
      <c r="E1454" s="735"/>
      <c r="F1454" s="736" t="s">
        <v>319</v>
      </c>
      <c r="G1454" s="727"/>
      <c r="H1454" s="704"/>
      <c r="I1454" s="705"/>
      <c r="J1454" s="752">
        <v>650</v>
      </c>
      <c r="K1454" s="709"/>
      <c r="L1454" s="801"/>
    </row>
    <row r="1455" spans="1:12" hidden="1">
      <c r="A1455" s="689" t="s">
        <v>397</v>
      </c>
      <c r="B1455" s="691"/>
      <c r="C1455" s="691"/>
      <c r="D1455" s="691"/>
      <c r="E1455" s="692"/>
      <c r="F1455" s="693"/>
      <c r="G1455" s="723"/>
      <c r="H1455" s="695"/>
      <c r="I1455" s="691"/>
      <c r="J1455" s="690"/>
      <c r="K1455" s="709"/>
      <c r="L1455" s="801"/>
    </row>
    <row r="1456" spans="1:12" hidden="1">
      <c r="A1456" s="689" t="s">
        <v>397</v>
      </c>
      <c r="B1456" s="750" t="s">
        <v>520</v>
      </c>
      <c r="C1456" s="705"/>
      <c r="D1456" s="705"/>
      <c r="E1456" s="735"/>
      <c r="F1456" s="736" t="s">
        <v>319</v>
      </c>
      <c r="G1456" s="727"/>
      <c r="H1456" s="704"/>
      <c r="I1456" s="705"/>
      <c r="J1456" s="752">
        <v>8000</v>
      </c>
      <c r="K1456" s="709"/>
      <c r="L1456" s="801"/>
    </row>
    <row r="1457" spans="1:12" hidden="1">
      <c r="A1457" s="689" t="s">
        <v>397</v>
      </c>
      <c r="B1457" s="750" t="s">
        <v>521</v>
      </c>
      <c r="C1457" s="705"/>
      <c r="D1457" s="705"/>
      <c r="E1457" s="735"/>
      <c r="F1457" s="736" t="s">
        <v>319</v>
      </c>
      <c r="G1457" s="727"/>
      <c r="H1457" s="704"/>
      <c r="I1457" s="705"/>
      <c r="J1457" s="752">
        <v>6000</v>
      </c>
      <c r="K1457" s="709"/>
      <c r="L1457" s="801"/>
    </row>
    <row r="1458" spans="1:12" hidden="1">
      <c r="A1458" s="689" t="s">
        <v>397</v>
      </c>
      <c r="B1458" s="750" t="s">
        <v>522</v>
      </c>
      <c r="C1458" s="705"/>
      <c r="D1458" s="705"/>
      <c r="E1458" s="735"/>
      <c r="F1458" s="736" t="s">
        <v>319</v>
      </c>
      <c r="G1458" s="727"/>
      <c r="H1458" s="704"/>
      <c r="I1458" s="705"/>
      <c r="J1458" s="752">
        <v>15000</v>
      </c>
      <c r="K1458" s="709"/>
      <c r="L1458" s="801"/>
    </row>
    <row r="1459" spans="1:12" hidden="1">
      <c r="A1459" s="689" t="s">
        <v>397</v>
      </c>
      <c r="B1459" s="750" t="s">
        <v>523</v>
      </c>
      <c r="C1459" s="705"/>
      <c r="D1459" s="705"/>
      <c r="E1459" s="735"/>
      <c r="F1459" s="736" t="s">
        <v>319</v>
      </c>
      <c r="G1459" s="727"/>
      <c r="H1459" s="704"/>
      <c r="I1459" s="705"/>
      <c r="J1459" s="752">
        <v>8500</v>
      </c>
      <c r="K1459" s="709"/>
      <c r="L1459" s="801"/>
    </row>
    <row r="1460" spans="1:12" hidden="1">
      <c r="A1460" s="689" t="s">
        <v>397</v>
      </c>
      <c r="B1460" s="750" t="s">
        <v>524</v>
      </c>
      <c r="C1460" s="705"/>
      <c r="D1460" s="705"/>
      <c r="E1460" s="735"/>
      <c r="F1460" s="736" t="s">
        <v>319</v>
      </c>
      <c r="G1460" s="727"/>
      <c r="H1460" s="704"/>
      <c r="I1460" s="705"/>
      <c r="J1460" s="752">
        <v>5000</v>
      </c>
      <c r="K1460" s="709"/>
      <c r="L1460" s="801"/>
    </row>
    <row r="1461" spans="1:12" hidden="1">
      <c r="A1461" s="689" t="s">
        <v>397</v>
      </c>
      <c r="B1461" s="750" t="s">
        <v>525</v>
      </c>
      <c r="C1461" s="705"/>
      <c r="D1461" s="705"/>
      <c r="E1461" s="735"/>
      <c r="F1461" s="736" t="s">
        <v>319</v>
      </c>
      <c r="G1461" s="727"/>
      <c r="H1461" s="704"/>
      <c r="I1461" s="705"/>
      <c r="J1461" s="752">
        <v>15000</v>
      </c>
      <c r="K1461" s="709"/>
      <c r="L1461" s="801"/>
    </row>
    <row r="1462" spans="1:12" hidden="1">
      <c r="A1462" s="689" t="s">
        <v>397</v>
      </c>
      <c r="B1462" s="691"/>
      <c r="C1462" s="691"/>
      <c r="D1462" s="691"/>
      <c r="E1462" s="692"/>
      <c r="F1462" s="693"/>
      <c r="G1462" s="723"/>
      <c r="H1462" s="695"/>
      <c r="I1462" s="691"/>
      <c r="J1462" s="690"/>
      <c r="K1462" s="709"/>
      <c r="L1462" s="801"/>
    </row>
    <row r="1463" spans="1:12" hidden="1">
      <c r="A1463" s="689" t="s">
        <v>397</v>
      </c>
      <c r="B1463" s="750" t="s">
        <v>526</v>
      </c>
      <c r="C1463" s="725"/>
      <c r="D1463" s="725"/>
      <c r="E1463" s="792"/>
      <c r="F1463" s="802" t="s">
        <v>100</v>
      </c>
      <c r="G1463" s="793"/>
      <c r="H1463" s="704"/>
      <c r="I1463" s="803" t="s">
        <v>527</v>
      </c>
      <c r="J1463" s="752">
        <v>200</v>
      </c>
      <c r="K1463" s="709"/>
      <c r="L1463" s="801"/>
    </row>
    <row r="1464" spans="1:12" hidden="1">
      <c r="A1464" s="689" t="s">
        <v>397</v>
      </c>
      <c r="B1464" s="750" t="s">
        <v>526</v>
      </c>
      <c r="C1464" s="725"/>
      <c r="D1464" s="725"/>
      <c r="E1464" s="792"/>
      <c r="F1464" s="802" t="s">
        <v>100</v>
      </c>
      <c r="G1464" s="793"/>
      <c r="H1464" s="704"/>
      <c r="I1464" s="803" t="s">
        <v>528</v>
      </c>
      <c r="J1464" s="752">
        <v>240</v>
      </c>
      <c r="K1464" s="709"/>
      <c r="L1464" s="801"/>
    </row>
    <row r="1465" spans="1:12" hidden="1">
      <c r="A1465" s="689" t="s">
        <v>397</v>
      </c>
      <c r="B1465" s="750" t="s">
        <v>529</v>
      </c>
      <c r="C1465" s="725"/>
      <c r="D1465" s="725"/>
      <c r="E1465" s="792"/>
      <c r="F1465" s="802" t="s">
        <v>100</v>
      </c>
      <c r="G1465" s="793"/>
      <c r="H1465" s="704"/>
      <c r="I1465" s="725"/>
      <c r="J1465" s="752">
        <v>120</v>
      </c>
      <c r="K1465" s="709"/>
      <c r="L1465" s="801"/>
    </row>
    <row r="1466" spans="1:12" hidden="1">
      <c r="A1466" s="689" t="s">
        <v>397</v>
      </c>
      <c r="B1466" s="750" t="s">
        <v>530</v>
      </c>
      <c r="C1466" s="725"/>
      <c r="D1466" s="725"/>
      <c r="E1466" s="792"/>
      <c r="F1466" s="802" t="s">
        <v>100</v>
      </c>
      <c r="G1466" s="793"/>
      <c r="H1466" s="704"/>
      <c r="I1466" s="725"/>
      <c r="J1466" s="752">
        <v>200</v>
      </c>
      <c r="K1466" s="709"/>
      <c r="L1466" s="801"/>
    </row>
    <row r="1467" spans="1:12" hidden="1">
      <c r="A1467" s="689" t="s">
        <v>397</v>
      </c>
      <c r="B1467" s="750" t="s">
        <v>531</v>
      </c>
      <c r="C1467" s="725"/>
      <c r="D1467" s="725"/>
      <c r="E1467" s="792"/>
      <c r="F1467" s="802" t="s">
        <v>100</v>
      </c>
      <c r="G1467" s="793"/>
      <c r="H1467" s="704"/>
      <c r="I1467" s="725"/>
      <c r="J1467" s="752">
        <v>15</v>
      </c>
      <c r="K1467" s="709"/>
      <c r="L1467" s="801"/>
    </row>
    <row r="1468" spans="1:12" hidden="1">
      <c r="A1468" s="689" t="s">
        <v>397</v>
      </c>
      <c r="B1468" s="750" t="s">
        <v>532</v>
      </c>
      <c r="C1468" s="725"/>
      <c r="D1468" s="725"/>
      <c r="E1468" s="792"/>
      <c r="F1468" s="802" t="s">
        <v>100</v>
      </c>
      <c r="G1468" s="793"/>
      <c r="H1468" s="704"/>
      <c r="I1468" s="803" t="s">
        <v>533</v>
      </c>
      <c r="J1468" s="752">
        <v>300</v>
      </c>
      <c r="K1468" s="709"/>
      <c r="L1468" s="801"/>
    </row>
    <row r="1469" spans="1:12" hidden="1">
      <c r="A1469" s="689" t="s">
        <v>397</v>
      </c>
      <c r="B1469" s="750" t="s">
        <v>532</v>
      </c>
      <c r="C1469" s="725"/>
      <c r="D1469" s="725"/>
      <c r="E1469" s="792"/>
      <c r="F1469" s="802" t="s">
        <v>100</v>
      </c>
      <c r="G1469" s="793"/>
      <c r="H1469" s="704"/>
      <c r="I1469" s="803" t="s">
        <v>534</v>
      </c>
      <c r="J1469" s="752">
        <v>500</v>
      </c>
      <c r="K1469" s="709"/>
      <c r="L1469" s="801"/>
    </row>
    <row r="1470" spans="1:12" hidden="1">
      <c r="A1470" s="689" t="s">
        <v>397</v>
      </c>
      <c r="B1470" s="750" t="s">
        <v>535</v>
      </c>
      <c r="C1470" s="725"/>
      <c r="D1470" s="725"/>
      <c r="E1470" s="792"/>
      <c r="F1470" s="802" t="s">
        <v>100</v>
      </c>
      <c r="G1470" s="793"/>
      <c r="H1470" s="704"/>
      <c r="I1470" s="725"/>
      <c r="J1470" s="752">
        <v>100</v>
      </c>
      <c r="K1470" s="709"/>
      <c r="L1470" s="801"/>
    </row>
    <row r="1471" spans="1:12" hidden="1">
      <c r="A1471" s="689" t="s">
        <v>397</v>
      </c>
      <c r="B1471" s="750" t="s">
        <v>536</v>
      </c>
      <c r="C1471" s="725"/>
      <c r="D1471" s="725"/>
      <c r="E1471" s="792"/>
      <c r="F1471" s="802" t="s">
        <v>100</v>
      </c>
      <c r="G1471" s="793"/>
      <c r="H1471" s="704"/>
      <c r="I1471" s="803" t="s">
        <v>533</v>
      </c>
      <c r="J1471" s="752">
        <f>J1468+J1470</f>
        <v>400</v>
      </c>
      <c r="K1471" s="709"/>
      <c r="L1471" s="801"/>
    </row>
    <row r="1472" spans="1:12" hidden="1">
      <c r="A1472" s="689" t="s">
        <v>397</v>
      </c>
      <c r="B1472" s="750" t="s">
        <v>536</v>
      </c>
      <c r="C1472" s="725"/>
      <c r="D1472" s="725"/>
      <c r="E1472" s="792"/>
      <c r="F1472" s="802" t="s">
        <v>100</v>
      </c>
      <c r="G1472" s="793"/>
      <c r="H1472" s="704"/>
      <c r="I1472" s="803" t="s">
        <v>534</v>
      </c>
      <c r="J1472" s="752">
        <f>J1469+J1470</f>
        <v>600</v>
      </c>
      <c r="K1472" s="709"/>
      <c r="L1472" s="801"/>
    </row>
    <row r="1473" spans="1:12" hidden="1">
      <c r="A1473" s="689" t="s">
        <v>397</v>
      </c>
      <c r="B1473" s="750" t="s">
        <v>537</v>
      </c>
      <c r="C1473" s="725"/>
      <c r="D1473" s="725"/>
      <c r="E1473" s="792"/>
      <c r="F1473" s="802" t="s">
        <v>100</v>
      </c>
      <c r="G1473" s="793"/>
      <c r="H1473" s="704"/>
      <c r="I1473" s="725"/>
      <c r="J1473" s="752">
        <v>100</v>
      </c>
      <c r="K1473" s="709"/>
      <c r="L1473" s="801"/>
    </row>
    <row r="1474" spans="1:12" hidden="1">
      <c r="A1474" s="689" t="s">
        <v>538</v>
      </c>
      <c r="B1474" s="750" t="s">
        <v>539</v>
      </c>
      <c r="C1474" s="725"/>
      <c r="D1474" s="725"/>
      <c r="E1474" s="792"/>
      <c r="F1474" s="802" t="s">
        <v>19</v>
      </c>
      <c r="G1474" s="793">
        <v>70</v>
      </c>
      <c r="H1474" s="704"/>
      <c r="I1474" s="803" t="s">
        <v>540</v>
      </c>
      <c r="J1474" s="752">
        <v>40</v>
      </c>
      <c r="K1474" s="709"/>
      <c r="L1474" s="801"/>
    </row>
    <row r="1475" spans="1:12" hidden="1">
      <c r="A1475" s="689" t="s">
        <v>538</v>
      </c>
      <c r="B1475" s="750" t="s">
        <v>539</v>
      </c>
      <c r="C1475" s="725"/>
      <c r="D1475" s="725"/>
      <c r="E1475" s="792"/>
      <c r="F1475" s="802" t="s">
        <v>19</v>
      </c>
      <c r="G1475" s="793">
        <v>90</v>
      </c>
      <c r="H1475" s="704"/>
      <c r="I1475" s="803" t="s">
        <v>541</v>
      </c>
      <c r="J1475" s="752">
        <v>40</v>
      </c>
      <c r="K1475" s="709"/>
      <c r="L1475" s="801"/>
    </row>
    <row r="1476" spans="1:12" hidden="1">
      <c r="A1476" s="689" t="s">
        <v>397</v>
      </c>
      <c r="B1476" s="750" t="s">
        <v>542</v>
      </c>
      <c r="C1476" s="725"/>
      <c r="D1476" s="725"/>
      <c r="E1476" s="792"/>
      <c r="F1476" s="792" t="s">
        <v>312</v>
      </c>
      <c r="G1476" s="793">
        <v>70</v>
      </c>
      <c r="H1476" s="704"/>
      <c r="I1476" s="725"/>
      <c r="J1476" s="752">
        <v>30</v>
      </c>
      <c r="K1476" s="709"/>
      <c r="L1476" s="801"/>
    </row>
    <row r="1477" spans="1:12" hidden="1">
      <c r="A1477" s="689"/>
      <c r="B1477" s="691"/>
      <c r="C1477" s="691"/>
      <c r="D1477" s="691"/>
      <c r="E1477" s="692"/>
      <c r="F1477" s="693"/>
      <c r="G1477" s="723"/>
      <c r="H1477" s="695"/>
      <c r="I1477" s="691"/>
      <c r="J1477" s="690"/>
      <c r="K1477" s="709"/>
      <c r="L1477" s="801"/>
    </row>
    <row r="1478" spans="1:12" hidden="1">
      <c r="A1478" s="689" t="s">
        <v>397</v>
      </c>
      <c r="B1478" s="750" t="s">
        <v>543</v>
      </c>
      <c r="C1478" s="705"/>
      <c r="D1478" s="705"/>
      <c r="E1478" s="735"/>
      <c r="F1478" s="736" t="s">
        <v>544</v>
      </c>
      <c r="G1478" s="727">
        <v>7500</v>
      </c>
      <c r="H1478" s="704"/>
      <c r="I1478" s="705"/>
      <c r="J1478" s="752"/>
      <c r="K1478" s="709"/>
      <c r="L1478" s="801"/>
    </row>
    <row r="1479" spans="1:12" hidden="1">
      <c r="A1479" s="689" t="s">
        <v>397</v>
      </c>
      <c r="B1479" s="750" t="s">
        <v>545</v>
      </c>
      <c r="C1479" s="705"/>
      <c r="D1479" s="705"/>
      <c r="E1479" s="735"/>
      <c r="F1479" s="736" t="s">
        <v>544</v>
      </c>
      <c r="G1479" s="727">
        <v>5500</v>
      </c>
      <c r="H1479" s="704"/>
      <c r="I1479" s="705"/>
      <c r="J1479" s="752"/>
      <c r="K1479" s="709"/>
      <c r="L1479" s="801"/>
    </row>
    <row r="1480" spans="1:12" hidden="1">
      <c r="A1480" s="689"/>
      <c r="B1480" s="691"/>
      <c r="C1480" s="691"/>
      <c r="D1480" s="691"/>
      <c r="E1480" s="692"/>
      <c r="F1480" s="693"/>
      <c r="G1480" s="723"/>
      <c r="H1480" s="695"/>
      <c r="I1480" s="691"/>
      <c r="J1480" s="690"/>
      <c r="K1480" s="709"/>
      <c r="L1480" s="801"/>
    </row>
    <row r="1481" spans="1:12" hidden="1">
      <c r="A1481" s="689" t="s">
        <v>397</v>
      </c>
      <c r="B1481" s="750" t="s">
        <v>546</v>
      </c>
      <c r="C1481" s="705"/>
      <c r="D1481" s="705"/>
      <c r="E1481" s="735"/>
      <c r="F1481" s="736" t="s">
        <v>547</v>
      </c>
      <c r="G1481" s="727"/>
      <c r="H1481" s="704"/>
      <c r="I1481" s="725"/>
      <c r="J1481" s="738">
        <v>2000</v>
      </c>
      <c r="K1481" s="709"/>
      <c r="L1481" s="801"/>
    </row>
    <row r="1482" spans="1:12" hidden="1">
      <c r="A1482" s="689" t="s">
        <v>397</v>
      </c>
      <c r="B1482" s="750" t="s">
        <v>548</v>
      </c>
      <c r="C1482" s="705"/>
      <c r="D1482" s="705"/>
      <c r="E1482" s="735"/>
      <c r="F1482" s="736" t="s">
        <v>547</v>
      </c>
      <c r="G1482" s="727"/>
      <c r="H1482" s="704"/>
      <c r="I1482" s="803" t="s">
        <v>549</v>
      </c>
      <c r="J1482" s="738">
        <v>2000</v>
      </c>
      <c r="K1482" s="709"/>
      <c r="L1482" s="801"/>
    </row>
    <row r="1483" spans="1:12" hidden="1">
      <c r="A1483" s="689" t="s">
        <v>397</v>
      </c>
      <c r="B1483" s="750" t="s">
        <v>548</v>
      </c>
      <c r="C1483" s="705"/>
      <c r="D1483" s="705"/>
      <c r="E1483" s="735"/>
      <c r="F1483" s="736" t="s">
        <v>547</v>
      </c>
      <c r="G1483" s="727"/>
      <c r="H1483" s="704"/>
      <c r="I1483" s="803" t="s">
        <v>550</v>
      </c>
      <c r="J1483" s="738">
        <v>3000</v>
      </c>
      <c r="K1483" s="709"/>
      <c r="L1483" s="801"/>
    </row>
    <row r="1484" spans="1:12" hidden="1">
      <c r="A1484" s="689"/>
      <c r="B1484" s="754"/>
      <c r="C1484" s="691"/>
      <c r="D1484" s="691"/>
      <c r="E1484" s="692"/>
      <c r="F1484" s="693"/>
      <c r="G1484" s="723"/>
      <c r="H1484" s="695"/>
      <c r="I1484" s="728"/>
      <c r="J1484" s="690"/>
      <c r="K1484" s="709"/>
      <c r="L1484" s="801"/>
    </row>
    <row r="1485" spans="1:12" ht="20.25" hidden="1">
      <c r="A1485" s="689" t="s">
        <v>397</v>
      </c>
      <c r="B1485" s="738" t="s">
        <v>551</v>
      </c>
      <c r="C1485" s="705"/>
      <c r="D1485" s="705"/>
      <c r="E1485" s="735"/>
      <c r="F1485" s="736" t="s">
        <v>319</v>
      </c>
      <c r="G1485" s="727"/>
      <c r="H1485" s="704"/>
      <c r="I1485" s="803" t="s">
        <v>552</v>
      </c>
      <c r="J1485" s="752">
        <v>300</v>
      </c>
      <c r="K1485" s="709"/>
      <c r="L1485" s="801"/>
    </row>
    <row r="1486" spans="1:12" ht="20.25" hidden="1">
      <c r="A1486" s="689" t="s">
        <v>397</v>
      </c>
      <c r="B1486" s="738" t="s">
        <v>551</v>
      </c>
      <c r="C1486" s="705"/>
      <c r="D1486" s="705"/>
      <c r="E1486" s="735"/>
      <c r="F1486" s="736" t="s">
        <v>319</v>
      </c>
      <c r="G1486" s="727"/>
      <c r="H1486" s="704"/>
      <c r="I1486" s="803" t="s">
        <v>553</v>
      </c>
      <c r="J1486" s="752">
        <v>400</v>
      </c>
      <c r="K1486" s="709"/>
      <c r="L1486" s="801"/>
    </row>
    <row r="1487" spans="1:12" ht="20.25" hidden="1">
      <c r="A1487" s="689" t="s">
        <v>397</v>
      </c>
      <c r="B1487" s="738" t="s">
        <v>551</v>
      </c>
      <c r="C1487" s="705"/>
      <c r="D1487" s="705"/>
      <c r="E1487" s="735"/>
      <c r="F1487" s="736" t="s">
        <v>319</v>
      </c>
      <c r="G1487" s="727"/>
      <c r="H1487" s="704"/>
      <c r="I1487" s="803" t="s">
        <v>554</v>
      </c>
      <c r="J1487" s="752">
        <v>500</v>
      </c>
      <c r="K1487" s="709"/>
      <c r="L1487" s="801"/>
    </row>
    <row r="1488" spans="1:12" ht="20.25" hidden="1">
      <c r="A1488" s="689" t="s">
        <v>397</v>
      </c>
      <c r="B1488" s="738" t="s">
        <v>551</v>
      </c>
      <c r="C1488" s="705"/>
      <c r="D1488" s="705"/>
      <c r="E1488" s="735"/>
      <c r="F1488" s="736" t="s">
        <v>319</v>
      </c>
      <c r="G1488" s="727"/>
      <c r="H1488" s="704"/>
      <c r="I1488" s="803" t="s">
        <v>555</v>
      </c>
      <c r="J1488" s="752">
        <v>650</v>
      </c>
      <c r="K1488" s="709"/>
      <c r="L1488" s="801"/>
    </row>
    <row r="1489" spans="1:12" ht="20.25" hidden="1">
      <c r="A1489" s="689" t="s">
        <v>397</v>
      </c>
      <c r="B1489" s="738" t="s">
        <v>551</v>
      </c>
      <c r="C1489" s="705"/>
      <c r="D1489" s="705"/>
      <c r="E1489" s="735"/>
      <c r="F1489" s="736" t="s">
        <v>319</v>
      </c>
      <c r="G1489" s="727"/>
      <c r="H1489" s="704"/>
      <c r="I1489" s="803" t="s">
        <v>556</v>
      </c>
      <c r="J1489" s="752">
        <v>800</v>
      </c>
      <c r="K1489" s="709"/>
      <c r="L1489" s="801"/>
    </row>
    <row r="1490" spans="1:12" hidden="1">
      <c r="A1490" s="689"/>
      <c r="B1490" s="754"/>
      <c r="C1490" s="691"/>
      <c r="D1490" s="691"/>
      <c r="E1490" s="692"/>
      <c r="F1490" s="693"/>
      <c r="G1490" s="723"/>
      <c r="H1490" s="695"/>
      <c r="I1490" s="728"/>
      <c r="J1490" s="690"/>
      <c r="K1490" s="709"/>
      <c r="L1490" s="801"/>
    </row>
    <row r="1491" spans="1:12" ht="20.25" hidden="1">
      <c r="A1491" s="689" t="s">
        <v>397</v>
      </c>
      <c r="B1491" s="738" t="s">
        <v>557</v>
      </c>
      <c r="C1491" s="705"/>
      <c r="D1491" s="705"/>
      <c r="E1491" s="735"/>
      <c r="F1491" s="736" t="s">
        <v>319</v>
      </c>
      <c r="G1491" s="727"/>
      <c r="H1491" s="704"/>
      <c r="I1491" s="803" t="s">
        <v>558</v>
      </c>
      <c r="J1491" s="752">
        <f>J1485</f>
        <v>300</v>
      </c>
      <c r="K1491" s="709"/>
      <c r="L1491" s="801"/>
    </row>
    <row r="1492" spans="1:12" ht="20.25" hidden="1">
      <c r="A1492" s="689" t="s">
        <v>397</v>
      </c>
      <c r="B1492" s="738" t="s">
        <v>557</v>
      </c>
      <c r="C1492" s="705"/>
      <c r="D1492" s="705"/>
      <c r="E1492" s="735"/>
      <c r="F1492" s="736" t="s">
        <v>319</v>
      </c>
      <c r="G1492" s="727"/>
      <c r="H1492" s="704"/>
      <c r="I1492" s="803" t="s">
        <v>559</v>
      </c>
      <c r="J1492" s="752">
        <f>J1486</f>
        <v>400</v>
      </c>
      <c r="K1492" s="709"/>
      <c r="L1492" s="801"/>
    </row>
    <row r="1493" spans="1:12" ht="20.25" hidden="1">
      <c r="A1493" s="689" t="s">
        <v>397</v>
      </c>
      <c r="B1493" s="738" t="s">
        <v>557</v>
      </c>
      <c r="C1493" s="705"/>
      <c r="D1493" s="705"/>
      <c r="E1493" s="735"/>
      <c r="F1493" s="736" t="s">
        <v>319</v>
      </c>
      <c r="G1493" s="727"/>
      <c r="H1493" s="704"/>
      <c r="I1493" s="803" t="s">
        <v>560</v>
      </c>
      <c r="J1493" s="752">
        <f>J1487</f>
        <v>500</v>
      </c>
      <c r="K1493" s="709"/>
      <c r="L1493" s="801"/>
    </row>
    <row r="1494" spans="1:12" ht="20.25" hidden="1">
      <c r="A1494" s="689" t="s">
        <v>397</v>
      </c>
      <c r="B1494" s="738" t="s">
        <v>557</v>
      </c>
      <c r="C1494" s="705"/>
      <c r="D1494" s="705"/>
      <c r="E1494" s="735"/>
      <c r="F1494" s="736" t="s">
        <v>319</v>
      </c>
      <c r="G1494" s="727"/>
      <c r="H1494" s="704"/>
      <c r="I1494" s="803" t="s">
        <v>561</v>
      </c>
      <c r="J1494" s="752">
        <f>J1488</f>
        <v>650</v>
      </c>
      <c r="K1494" s="709"/>
      <c r="L1494" s="801"/>
    </row>
    <row r="1495" spans="1:12" ht="20.25" hidden="1">
      <c r="A1495" s="689" t="s">
        <v>397</v>
      </c>
      <c r="B1495" s="738" t="s">
        <v>557</v>
      </c>
      <c r="C1495" s="705"/>
      <c r="D1495" s="705"/>
      <c r="E1495" s="735"/>
      <c r="F1495" s="736" t="s">
        <v>319</v>
      </c>
      <c r="G1495" s="727"/>
      <c r="H1495" s="704"/>
      <c r="I1495" s="803" t="s">
        <v>562</v>
      </c>
      <c r="J1495" s="752">
        <f>J1489</f>
        <v>800</v>
      </c>
      <c r="K1495" s="709"/>
      <c r="L1495" s="801"/>
    </row>
    <row r="1496" spans="1:12" hidden="1">
      <c r="A1496" s="689"/>
      <c r="B1496" s="691"/>
      <c r="C1496" s="691"/>
      <c r="D1496" s="691"/>
      <c r="E1496" s="692"/>
      <c r="F1496" s="693"/>
      <c r="G1496" s="723"/>
      <c r="H1496" s="695"/>
      <c r="I1496" s="691"/>
      <c r="J1496" s="690"/>
      <c r="K1496" s="709"/>
      <c r="L1496" s="801"/>
    </row>
    <row r="1497" spans="1:12" hidden="1">
      <c r="A1497" s="689" t="s">
        <v>468</v>
      </c>
      <c r="B1497" s="750" t="s">
        <v>563</v>
      </c>
      <c r="C1497" s="705"/>
      <c r="D1497" s="705"/>
      <c r="E1497" s="735"/>
      <c r="F1497" s="736" t="s">
        <v>319</v>
      </c>
      <c r="G1497" s="727"/>
      <c r="H1497" s="704"/>
      <c r="I1497" s="777" t="s">
        <v>564</v>
      </c>
      <c r="J1497" s="738">
        <v>200</v>
      </c>
      <c r="K1497" s="709"/>
      <c r="L1497" s="801"/>
    </row>
    <row r="1498" spans="1:12" hidden="1">
      <c r="A1498" s="689" t="s">
        <v>468</v>
      </c>
      <c r="B1498" s="750" t="s">
        <v>563</v>
      </c>
      <c r="C1498" s="705"/>
      <c r="D1498" s="705"/>
      <c r="E1498" s="735"/>
      <c r="F1498" s="736" t="s">
        <v>319</v>
      </c>
      <c r="G1498" s="727"/>
      <c r="H1498" s="704"/>
      <c r="I1498" s="777" t="s">
        <v>565</v>
      </c>
      <c r="J1498" s="738">
        <v>300</v>
      </c>
      <c r="K1498" s="709"/>
      <c r="L1498" s="801"/>
    </row>
    <row r="1499" spans="1:12" hidden="1">
      <c r="A1499" s="689" t="s">
        <v>468</v>
      </c>
      <c r="B1499" s="750" t="s">
        <v>566</v>
      </c>
      <c r="C1499" s="764" t="s">
        <v>47</v>
      </c>
      <c r="D1499" s="705" t="s">
        <v>99</v>
      </c>
      <c r="E1499" s="744">
        <v>0.5</v>
      </c>
      <c r="F1499" s="736" t="s">
        <v>319</v>
      </c>
      <c r="G1499" s="727"/>
      <c r="H1499" s="704"/>
      <c r="I1499" s="705"/>
      <c r="J1499" s="738">
        <v>25</v>
      </c>
      <c r="K1499" s="709"/>
      <c r="L1499" s="801"/>
    </row>
    <row r="1500" spans="1:12" hidden="1">
      <c r="A1500" s="689" t="s">
        <v>468</v>
      </c>
      <c r="B1500" s="750" t="s">
        <v>566</v>
      </c>
      <c r="C1500" s="764" t="s">
        <v>49</v>
      </c>
      <c r="D1500" s="705" t="s">
        <v>104</v>
      </c>
      <c r="E1500" s="744">
        <v>0.75</v>
      </c>
      <c r="F1500" s="736" t="s">
        <v>319</v>
      </c>
      <c r="G1500" s="727"/>
      <c r="H1500" s="704"/>
      <c r="I1500" s="705"/>
      <c r="J1500" s="738">
        <v>30</v>
      </c>
      <c r="K1500" s="709"/>
      <c r="L1500" s="801"/>
    </row>
    <row r="1501" spans="1:12" hidden="1">
      <c r="A1501" s="689" t="s">
        <v>468</v>
      </c>
      <c r="B1501" s="750" t="s">
        <v>566</v>
      </c>
      <c r="C1501" s="764" t="s">
        <v>51</v>
      </c>
      <c r="D1501" s="705" t="s">
        <v>105</v>
      </c>
      <c r="E1501" s="744">
        <v>1</v>
      </c>
      <c r="F1501" s="736" t="s">
        <v>319</v>
      </c>
      <c r="G1501" s="727"/>
      <c r="H1501" s="704"/>
      <c r="I1501" s="705"/>
      <c r="J1501" s="738">
        <v>35</v>
      </c>
      <c r="K1501" s="709"/>
      <c r="L1501" s="801"/>
    </row>
    <row r="1502" spans="1:12" hidden="1">
      <c r="A1502" s="689" t="s">
        <v>468</v>
      </c>
      <c r="B1502" s="750" t="s">
        <v>566</v>
      </c>
      <c r="C1502" s="764" t="s">
        <v>53</v>
      </c>
      <c r="D1502" s="705" t="s">
        <v>106</v>
      </c>
      <c r="E1502" s="744">
        <v>1.25</v>
      </c>
      <c r="F1502" s="736" t="s">
        <v>319</v>
      </c>
      <c r="G1502" s="727"/>
      <c r="H1502" s="704"/>
      <c r="I1502" s="705"/>
      <c r="J1502" s="738">
        <v>50</v>
      </c>
      <c r="K1502" s="709"/>
      <c r="L1502" s="801"/>
    </row>
    <row r="1503" spans="1:12" hidden="1">
      <c r="A1503" s="689" t="s">
        <v>468</v>
      </c>
      <c r="B1503" s="750" t="s">
        <v>566</v>
      </c>
      <c r="C1503" s="764" t="s">
        <v>55</v>
      </c>
      <c r="D1503" s="705" t="s">
        <v>107</v>
      </c>
      <c r="E1503" s="744">
        <v>1.5</v>
      </c>
      <c r="F1503" s="736" t="s">
        <v>319</v>
      </c>
      <c r="G1503" s="727"/>
      <c r="H1503" s="704"/>
      <c r="I1503" s="705"/>
      <c r="J1503" s="738">
        <v>55</v>
      </c>
      <c r="K1503" s="709"/>
      <c r="L1503" s="801"/>
    </row>
    <row r="1504" spans="1:12" hidden="1">
      <c r="A1504" s="689" t="s">
        <v>468</v>
      </c>
      <c r="B1504" s="750" t="s">
        <v>566</v>
      </c>
      <c r="C1504" s="764" t="s">
        <v>57</v>
      </c>
      <c r="D1504" s="705" t="s">
        <v>31</v>
      </c>
      <c r="E1504" s="735">
        <v>2</v>
      </c>
      <c r="F1504" s="736" t="s">
        <v>319</v>
      </c>
      <c r="G1504" s="727"/>
      <c r="H1504" s="704"/>
      <c r="I1504" s="705"/>
      <c r="J1504" s="738">
        <v>75</v>
      </c>
      <c r="K1504" s="709"/>
      <c r="L1504" s="801"/>
    </row>
    <row r="1505" spans="1:12" hidden="1">
      <c r="A1505" s="689" t="s">
        <v>468</v>
      </c>
      <c r="B1505" s="691"/>
      <c r="C1505" s="691"/>
      <c r="D1505" s="691"/>
      <c r="E1505" s="692"/>
      <c r="F1505" s="693"/>
      <c r="G1505" s="723"/>
      <c r="H1505" s="695"/>
      <c r="I1505" s="691"/>
      <c r="J1505" s="690"/>
      <c r="K1505" s="709"/>
      <c r="L1505" s="801"/>
    </row>
    <row r="1506" spans="1:12" hidden="1">
      <c r="A1506" s="689" t="s">
        <v>468</v>
      </c>
      <c r="B1506" s="738" t="s">
        <v>567</v>
      </c>
      <c r="C1506" s="705"/>
      <c r="D1506" s="705"/>
      <c r="E1506" s="735"/>
      <c r="F1506" s="736" t="s">
        <v>319</v>
      </c>
      <c r="G1506" s="828">
        <f>ROUND(armatura!F347,2)</f>
        <v>38.65</v>
      </c>
      <c r="H1506" s="704" t="s">
        <v>568</v>
      </c>
      <c r="I1506" s="705" t="s">
        <v>569</v>
      </c>
      <c r="J1506" s="752">
        <v>20</v>
      </c>
      <c r="K1506" s="709"/>
      <c r="L1506" s="801"/>
    </row>
    <row r="1507" spans="1:12" hidden="1">
      <c r="A1507" s="689" t="s">
        <v>468</v>
      </c>
      <c r="B1507" s="738" t="s">
        <v>567</v>
      </c>
      <c r="C1507" s="705"/>
      <c r="D1507" s="705"/>
      <c r="E1507" s="735"/>
      <c r="F1507" s="736" t="s">
        <v>319</v>
      </c>
      <c r="G1507" s="828">
        <f>ROUND(armatura!F348,2)</f>
        <v>49.45</v>
      </c>
      <c r="H1507" s="704" t="s">
        <v>568</v>
      </c>
      <c r="I1507" s="705" t="s">
        <v>570</v>
      </c>
      <c r="J1507" s="752">
        <v>20</v>
      </c>
      <c r="K1507" s="709"/>
      <c r="L1507" s="801"/>
    </row>
    <row r="1508" spans="1:12" hidden="1">
      <c r="A1508" s="689" t="s">
        <v>468</v>
      </c>
      <c r="B1508" s="738" t="s">
        <v>567</v>
      </c>
      <c r="C1508" s="705"/>
      <c r="D1508" s="705"/>
      <c r="E1508" s="735"/>
      <c r="F1508" s="736" t="s">
        <v>319</v>
      </c>
      <c r="G1508" s="828">
        <f>ROUND(armatura!F349,2)</f>
        <v>37.950000000000003</v>
      </c>
      <c r="H1508" s="704" t="s">
        <v>568</v>
      </c>
      <c r="I1508" s="705" t="s">
        <v>571</v>
      </c>
      <c r="J1508" s="752">
        <v>20</v>
      </c>
      <c r="K1508" s="709"/>
      <c r="L1508" s="801"/>
    </row>
    <row r="1509" spans="1:12" hidden="1">
      <c r="A1509" s="689" t="s">
        <v>468</v>
      </c>
      <c r="B1509" s="738" t="s">
        <v>531</v>
      </c>
      <c r="C1509" s="705"/>
      <c r="D1509" s="705"/>
      <c r="E1509" s="735"/>
      <c r="F1509" s="736" t="s">
        <v>319</v>
      </c>
      <c r="G1509" s="828">
        <f>ROUND(armatura!F350,2)</f>
        <v>0</v>
      </c>
      <c r="H1509" s="704"/>
      <c r="I1509" s="705"/>
      <c r="J1509" s="752">
        <v>15</v>
      </c>
      <c r="K1509" s="709"/>
      <c r="L1509" s="801"/>
    </row>
    <row r="1510" spans="1:12" hidden="1">
      <c r="A1510" s="689"/>
      <c r="B1510" s="691"/>
      <c r="C1510" s="691"/>
      <c r="D1510" s="691"/>
      <c r="E1510" s="692"/>
      <c r="F1510" s="693"/>
      <c r="G1510" s="723"/>
      <c r="H1510" s="695"/>
      <c r="I1510" s="691"/>
      <c r="J1510" s="690"/>
      <c r="K1510" s="709"/>
      <c r="L1510" s="801"/>
    </row>
    <row r="1511" spans="1:12" ht="16.5" hidden="1">
      <c r="A1511" s="731" t="s">
        <v>572</v>
      </c>
      <c r="B1511" s="738" t="s">
        <v>573</v>
      </c>
      <c r="C1511" s="705"/>
      <c r="D1511" s="705"/>
      <c r="E1511" s="735"/>
      <c r="F1511" s="736" t="s">
        <v>319</v>
      </c>
      <c r="G1511" s="727"/>
      <c r="H1511" s="704"/>
      <c r="I1511" s="705"/>
      <c r="J1511" s="738"/>
      <c r="K1511" s="709"/>
      <c r="L1511" s="801"/>
    </row>
    <row r="1512" spans="1:12" hidden="1">
      <c r="A1512" s="731" t="s">
        <v>340</v>
      </c>
      <c r="B1512" s="738" t="s">
        <v>574</v>
      </c>
      <c r="C1512" s="705"/>
      <c r="D1512" s="705"/>
      <c r="E1512" s="735"/>
      <c r="F1512" s="736" t="s">
        <v>319</v>
      </c>
      <c r="G1512" s="727"/>
      <c r="H1512" s="704"/>
      <c r="I1512" s="705"/>
      <c r="J1512" s="738"/>
      <c r="K1512" s="709"/>
      <c r="L1512" s="801"/>
    </row>
    <row r="1513" spans="1:12" hidden="1">
      <c r="A1513" s="689" t="s">
        <v>575</v>
      </c>
      <c r="B1513" s="761" t="s">
        <v>576</v>
      </c>
      <c r="C1513" s="705"/>
      <c r="D1513" s="705"/>
      <c r="E1513" s="735"/>
      <c r="F1513" s="736" t="s">
        <v>319</v>
      </c>
      <c r="G1513" s="727"/>
      <c r="H1513" s="704"/>
      <c r="I1513" s="705"/>
      <c r="J1513" s="738"/>
      <c r="K1513" s="709"/>
      <c r="L1513" s="801"/>
    </row>
    <row r="1514" spans="1:12" hidden="1">
      <c r="A1514" s="689" t="s">
        <v>575</v>
      </c>
      <c r="B1514" s="761" t="s">
        <v>577</v>
      </c>
      <c r="C1514" s="705"/>
      <c r="D1514" s="705"/>
      <c r="E1514" s="735"/>
      <c r="F1514" s="736" t="s">
        <v>319</v>
      </c>
      <c r="G1514" s="727"/>
      <c r="H1514" s="704"/>
      <c r="I1514" s="705"/>
      <c r="J1514" s="738">
        <v>1000</v>
      </c>
      <c r="K1514" s="709"/>
      <c r="L1514" s="801"/>
    </row>
    <row r="1515" spans="1:12" hidden="1">
      <c r="A1515" s="689" t="s">
        <v>578</v>
      </c>
      <c r="B1515" s="738" t="s">
        <v>579</v>
      </c>
      <c r="C1515" s="705"/>
      <c r="D1515" s="705"/>
      <c r="E1515" s="735"/>
      <c r="F1515" s="736" t="s">
        <v>319</v>
      </c>
      <c r="G1515" s="727"/>
      <c r="H1515" s="704"/>
      <c r="I1515" s="705"/>
      <c r="J1515" s="738"/>
      <c r="K1515" s="709"/>
      <c r="L1515" s="801"/>
    </row>
    <row r="1516" spans="1:12" hidden="1">
      <c r="A1516" s="689" t="s">
        <v>580</v>
      </c>
      <c r="B1516" s="738" t="s">
        <v>581</v>
      </c>
      <c r="C1516" s="705"/>
      <c r="D1516" s="705"/>
      <c r="E1516" s="735"/>
      <c r="F1516" s="736" t="s">
        <v>319</v>
      </c>
      <c r="G1516" s="727"/>
      <c r="H1516" s="704"/>
      <c r="I1516" s="705"/>
      <c r="J1516" s="738"/>
      <c r="K1516" s="709"/>
      <c r="L1516" s="801"/>
    </row>
    <row r="1517" spans="1:12" hidden="1">
      <c r="A1517" s="689" t="s">
        <v>397</v>
      </c>
      <c r="B1517" s="738" t="s">
        <v>582</v>
      </c>
      <c r="C1517" s="705"/>
      <c r="D1517" s="705"/>
      <c r="E1517" s="735"/>
      <c r="F1517" s="736" t="s">
        <v>319</v>
      </c>
      <c r="G1517" s="727"/>
      <c r="H1517" s="704"/>
      <c r="I1517" s="705"/>
      <c r="J1517" s="738"/>
      <c r="K1517" s="709"/>
      <c r="L1517" s="801"/>
    </row>
    <row r="1518" spans="1:12" hidden="1">
      <c r="A1518" s="689" t="s">
        <v>397</v>
      </c>
      <c r="B1518" s="738" t="s">
        <v>583</v>
      </c>
      <c r="C1518" s="705"/>
      <c r="D1518" s="705"/>
      <c r="E1518" s="735"/>
      <c r="F1518" s="736" t="s">
        <v>319</v>
      </c>
      <c r="G1518" s="727"/>
      <c r="H1518" s="704"/>
      <c r="I1518" s="705"/>
      <c r="J1518" s="738"/>
      <c r="K1518" s="709"/>
      <c r="L1518" s="801"/>
    </row>
    <row r="1519" spans="1:12" hidden="1">
      <c r="A1519" s="689" t="s">
        <v>580</v>
      </c>
      <c r="B1519" s="738" t="s">
        <v>584</v>
      </c>
      <c r="C1519" s="705"/>
      <c r="D1519" s="705"/>
      <c r="E1519" s="735"/>
      <c r="F1519" s="736" t="s">
        <v>319</v>
      </c>
      <c r="G1519" s="727"/>
      <c r="H1519" s="704"/>
      <c r="I1519" s="705"/>
      <c r="J1519" s="738"/>
      <c r="K1519" s="709"/>
      <c r="L1519" s="801"/>
    </row>
    <row r="1520" spans="1:12" ht="16.5" hidden="1">
      <c r="A1520" s="731" t="s">
        <v>585</v>
      </c>
      <c r="B1520" s="738" t="s">
        <v>586</v>
      </c>
      <c r="C1520" s="738"/>
      <c r="D1520" s="738"/>
      <c r="E1520" s="804"/>
      <c r="F1520" s="736" t="s">
        <v>319</v>
      </c>
      <c r="G1520" s="727"/>
      <c r="H1520" s="704"/>
      <c r="I1520" s="738"/>
      <c r="J1520" s="738"/>
      <c r="K1520" s="709"/>
      <c r="L1520" s="801"/>
    </row>
    <row r="1521" spans="1:12" hidden="1">
      <c r="A1521" s="689" t="s">
        <v>580</v>
      </c>
      <c r="B1521" s="738" t="s">
        <v>587</v>
      </c>
      <c r="C1521" s="705"/>
      <c r="D1521" s="705"/>
      <c r="E1521" s="735"/>
      <c r="F1521" s="736" t="s">
        <v>319</v>
      </c>
      <c r="G1521" s="727"/>
      <c r="H1521" s="704"/>
      <c r="I1521" s="705"/>
      <c r="J1521" s="738"/>
      <c r="K1521" s="709"/>
      <c r="L1521" s="801"/>
    </row>
    <row r="1522" spans="1:12" ht="16.5" hidden="1">
      <c r="A1522" s="731" t="s">
        <v>585</v>
      </c>
      <c r="B1522" s="738" t="s">
        <v>588</v>
      </c>
      <c r="C1522" s="705"/>
      <c r="D1522" s="705"/>
      <c r="E1522" s="735"/>
      <c r="F1522" s="736" t="s">
        <v>319</v>
      </c>
      <c r="G1522" s="727"/>
      <c r="H1522" s="704"/>
      <c r="I1522" s="705"/>
      <c r="J1522" s="738"/>
      <c r="K1522" s="709"/>
      <c r="L1522" s="801"/>
    </row>
    <row r="1523" spans="1:12" ht="16.5" hidden="1">
      <c r="A1523" s="731" t="s">
        <v>585</v>
      </c>
      <c r="B1523" s="738" t="s">
        <v>589</v>
      </c>
      <c r="C1523" s="705"/>
      <c r="D1523" s="705"/>
      <c r="E1523" s="735"/>
      <c r="F1523" s="736" t="s">
        <v>512</v>
      </c>
      <c r="G1523" s="727"/>
      <c r="H1523" s="704"/>
      <c r="I1523" s="705"/>
      <c r="J1523" s="738"/>
      <c r="K1523" s="709"/>
      <c r="L1523" s="801"/>
    </row>
    <row r="1524" spans="1:12" ht="16.5" hidden="1">
      <c r="A1524" s="731" t="s">
        <v>585</v>
      </c>
      <c r="B1524" s="738" t="s">
        <v>590</v>
      </c>
      <c r="C1524" s="705"/>
      <c r="D1524" s="705"/>
      <c r="E1524" s="735"/>
      <c r="F1524" s="736" t="s">
        <v>512</v>
      </c>
      <c r="G1524" s="727"/>
      <c r="H1524" s="704"/>
      <c r="I1524" s="705"/>
      <c r="J1524" s="738"/>
      <c r="K1524" s="709"/>
      <c r="L1524" s="801"/>
    </row>
    <row r="1525" spans="1:12" ht="16.5" hidden="1">
      <c r="A1525" s="731" t="s">
        <v>585</v>
      </c>
      <c r="B1525" s="738" t="s">
        <v>591</v>
      </c>
      <c r="C1525" s="705"/>
      <c r="D1525" s="705"/>
      <c r="E1525" s="735"/>
      <c r="F1525" s="736" t="s">
        <v>512</v>
      </c>
      <c r="G1525" s="727"/>
      <c r="H1525" s="704"/>
      <c r="I1525" s="705"/>
      <c r="J1525" s="738"/>
      <c r="K1525" s="709"/>
      <c r="L1525" s="801"/>
    </row>
    <row r="1526" spans="1:12" ht="16.5" hidden="1">
      <c r="A1526" s="731" t="s">
        <v>585</v>
      </c>
      <c r="B1526" s="738" t="s">
        <v>592</v>
      </c>
      <c r="C1526" s="705"/>
      <c r="D1526" s="705"/>
      <c r="E1526" s="735"/>
      <c r="F1526" s="736" t="s">
        <v>512</v>
      </c>
      <c r="G1526" s="727"/>
      <c r="H1526" s="704"/>
      <c r="I1526" s="705"/>
      <c r="J1526" s="738"/>
      <c r="K1526" s="709"/>
      <c r="L1526" s="801"/>
    </row>
    <row r="1527" spans="1:12" ht="16.5" hidden="1">
      <c r="A1527" s="731" t="s">
        <v>593</v>
      </c>
      <c r="B1527" s="738" t="s">
        <v>594</v>
      </c>
      <c r="C1527" s="738"/>
      <c r="D1527" s="738"/>
      <c r="E1527" s="804"/>
      <c r="F1527" s="736" t="s">
        <v>512</v>
      </c>
      <c r="G1527" s="727"/>
      <c r="H1527" s="704"/>
      <c r="I1527" s="738"/>
      <c r="J1527" s="738"/>
      <c r="K1527" s="709"/>
      <c r="L1527" s="801"/>
    </row>
    <row r="1528" spans="1:12" ht="16.5" hidden="1">
      <c r="A1528" s="731" t="s">
        <v>585</v>
      </c>
      <c r="B1528" s="738" t="s">
        <v>595</v>
      </c>
      <c r="C1528" s="705"/>
      <c r="D1528" s="705"/>
      <c r="E1528" s="735"/>
      <c r="F1528" s="736" t="s">
        <v>512</v>
      </c>
      <c r="G1528" s="727"/>
      <c r="H1528" s="704"/>
      <c r="I1528" s="705"/>
      <c r="J1528" s="738"/>
      <c r="K1528" s="709"/>
      <c r="L1528" s="801"/>
    </row>
    <row r="1529" spans="1:12" hidden="1">
      <c r="A1529" s="731" t="s">
        <v>596</v>
      </c>
      <c r="B1529" s="738" t="s">
        <v>597</v>
      </c>
      <c r="C1529" s="705"/>
      <c r="D1529" s="705"/>
      <c r="E1529" s="735"/>
      <c r="F1529" s="736" t="s">
        <v>319</v>
      </c>
      <c r="G1529" s="727"/>
      <c r="H1529" s="704"/>
      <c r="I1529" s="705"/>
      <c r="J1529" s="738"/>
      <c r="K1529" s="709"/>
      <c r="L1529" s="801"/>
    </row>
    <row r="1530" spans="1:12" ht="16.5" hidden="1">
      <c r="A1530" s="731" t="s">
        <v>585</v>
      </c>
      <c r="B1530" s="738" t="s">
        <v>598</v>
      </c>
      <c r="C1530" s="738"/>
      <c r="D1530" s="738"/>
      <c r="E1530" s="804"/>
      <c r="F1530" s="736" t="s">
        <v>512</v>
      </c>
      <c r="G1530" s="727"/>
      <c r="H1530" s="704"/>
      <c r="I1530" s="738"/>
      <c r="J1530" s="738"/>
      <c r="K1530" s="709"/>
      <c r="L1530" s="801"/>
    </row>
    <row r="1531" spans="1:12" ht="16.5" hidden="1">
      <c r="A1531" s="731" t="s">
        <v>585</v>
      </c>
      <c r="B1531" s="738" t="s">
        <v>599</v>
      </c>
      <c r="C1531" s="738"/>
      <c r="D1531" s="738"/>
      <c r="E1531" s="804"/>
      <c r="F1531" s="736" t="s">
        <v>512</v>
      </c>
      <c r="G1531" s="727"/>
      <c r="H1531" s="704"/>
      <c r="I1531" s="738"/>
      <c r="J1531" s="738"/>
      <c r="K1531" s="709"/>
      <c r="L1531" s="801"/>
    </row>
    <row r="1532" spans="1:12" ht="16.5" hidden="1">
      <c r="A1532" s="731" t="s">
        <v>593</v>
      </c>
      <c r="B1532" s="738" t="s">
        <v>600</v>
      </c>
      <c r="C1532" s="738"/>
      <c r="D1532" s="738"/>
      <c r="E1532" s="804"/>
      <c r="F1532" s="736" t="s">
        <v>19</v>
      </c>
      <c r="G1532" s="727"/>
      <c r="H1532" s="704"/>
      <c r="I1532" s="738"/>
      <c r="J1532" s="738"/>
      <c r="K1532" s="709"/>
      <c r="L1532" s="801"/>
    </row>
    <row r="1533" spans="1:12" ht="16.5" hidden="1">
      <c r="A1533" s="731" t="s">
        <v>593</v>
      </c>
      <c r="B1533" s="738" t="s">
        <v>601</v>
      </c>
      <c r="C1533" s="738"/>
      <c r="D1533" s="738"/>
      <c r="E1533" s="804"/>
      <c r="F1533" s="736" t="s">
        <v>19</v>
      </c>
      <c r="G1533" s="727"/>
      <c r="H1533" s="704"/>
      <c r="I1533" s="738"/>
      <c r="J1533" s="738"/>
      <c r="K1533" s="709"/>
      <c r="L1533" s="801"/>
    </row>
    <row r="1534" spans="1:12" hidden="1">
      <c r="A1534" s="689" t="s">
        <v>397</v>
      </c>
      <c r="B1534" s="738" t="s">
        <v>602</v>
      </c>
      <c r="C1534" s="738"/>
      <c r="D1534" s="738"/>
      <c r="E1534" s="804"/>
      <c r="F1534" s="736" t="s">
        <v>319</v>
      </c>
      <c r="G1534" s="727"/>
      <c r="H1534" s="704"/>
      <c r="I1534" s="738"/>
      <c r="J1534" s="738"/>
      <c r="K1534" s="709"/>
      <c r="L1534" s="801"/>
    </row>
    <row r="1535" spans="1:12" hidden="1">
      <c r="A1535" s="689" t="s">
        <v>397</v>
      </c>
      <c r="B1535" s="738" t="s">
        <v>603</v>
      </c>
      <c r="C1535" s="705"/>
      <c r="D1535" s="705"/>
      <c r="E1535" s="735"/>
      <c r="F1535" s="736" t="s">
        <v>319</v>
      </c>
      <c r="G1535" s="727"/>
      <c r="H1535" s="704"/>
      <c r="I1535" s="705"/>
      <c r="J1535" s="738"/>
      <c r="K1535" s="709"/>
      <c r="L1535" s="801"/>
    </row>
    <row r="1536" spans="1:12" hidden="1">
      <c r="A1536" s="689" t="s">
        <v>134</v>
      </c>
      <c r="B1536" s="738" t="s">
        <v>604</v>
      </c>
      <c r="C1536" s="738"/>
      <c r="D1536" s="738"/>
      <c r="E1536" s="804"/>
      <c r="F1536" s="736" t="s">
        <v>319</v>
      </c>
      <c r="G1536" s="727"/>
      <c r="H1536" s="704"/>
      <c r="I1536" s="738"/>
      <c r="J1536" s="738">
        <v>200</v>
      </c>
      <c r="K1536" s="709"/>
      <c r="L1536" s="801"/>
    </row>
    <row r="1537" spans="1:12" hidden="1">
      <c r="A1537" s="731" t="s">
        <v>596</v>
      </c>
      <c r="B1537" s="738" t="s">
        <v>605</v>
      </c>
      <c r="C1537" s="705"/>
      <c r="D1537" s="705"/>
      <c r="E1537" s="735"/>
      <c r="F1537" s="736" t="s">
        <v>19</v>
      </c>
      <c r="G1537" s="727"/>
      <c r="H1537" s="704"/>
      <c r="I1537" s="705"/>
      <c r="J1537" s="738"/>
      <c r="K1537" s="709"/>
      <c r="L1537" s="801"/>
    </row>
    <row r="1538" spans="1:12" hidden="1">
      <c r="A1538" s="731" t="s">
        <v>580</v>
      </c>
      <c r="B1538" s="738" t="s">
        <v>606</v>
      </c>
      <c r="C1538" s="705"/>
      <c r="D1538" s="705"/>
      <c r="E1538" s="735"/>
      <c r="F1538" s="736" t="s">
        <v>319</v>
      </c>
      <c r="G1538" s="727"/>
      <c r="H1538" s="704"/>
      <c r="I1538" s="705"/>
      <c r="J1538" s="738"/>
      <c r="K1538" s="709"/>
      <c r="L1538" s="801"/>
    </row>
    <row r="1539" spans="1:12" ht="16.5" hidden="1">
      <c r="A1539" s="805" t="s">
        <v>585</v>
      </c>
      <c r="B1539" s="806" t="s">
        <v>607</v>
      </c>
      <c r="C1539" s="807"/>
      <c r="D1539" s="807"/>
      <c r="E1539" s="808"/>
      <c r="F1539" s="736" t="s">
        <v>319</v>
      </c>
      <c r="G1539" s="809"/>
      <c r="H1539" s="810"/>
      <c r="I1539" s="807"/>
      <c r="J1539" s="806"/>
      <c r="K1539" s="811"/>
      <c r="L1539" s="812"/>
    </row>
    <row r="1540" spans="1:12" hidden="1"/>
  </sheetData>
  <autoFilter ref="A1:L1540" xr:uid="{00000000-0001-0000-0000-000000000000}">
    <filterColumn colId="1">
      <filters>
        <filter val="rura pex"/>
        <filter val="rura pex podłoga zwój"/>
        <filter val="rura pex w izolacji cz/n (podłoga)"/>
      </filters>
    </filterColumn>
  </autoFilter>
  <phoneticPr fontId="6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F55F-CB03-4485-BBAF-DF56BE59D495}">
  <dimension ref="A1:X46"/>
  <sheetViews>
    <sheetView workbookViewId="0">
      <selection activeCell="F16" sqref="F16:M16"/>
    </sheetView>
  </sheetViews>
  <sheetFormatPr defaultRowHeight="15"/>
  <cols>
    <col min="1" max="1" width="9" customWidth="1"/>
    <col min="2" max="2" width="7.5703125" customWidth="1"/>
    <col min="3" max="3" width="12.140625" customWidth="1"/>
    <col min="4" max="4" width="12" customWidth="1"/>
    <col min="5" max="5" width="19" customWidth="1"/>
    <col min="6" max="6" width="17.140625" customWidth="1"/>
    <col min="7" max="7" width="6.5703125" customWidth="1"/>
    <col min="9" max="9" width="9.28515625" customWidth="1"/>
    <col min="10" max="10" width="18.7109375" customWidth="1"/>
    <col min="11" max="11" width="7.85546875" customWidth="1"/>
    <col min="12" max="12" width="9.7109375" customWidth="1"/>
    <col min="13" max="13" width="15" customWidth="1"/>
    <col min="14" max="14" width="6.7109375" customWidth="1"/>
    <col min="15" max="15" width="8.28515625" customWidth="1"/>
    <col min="22" max="22" width="5.85546875" customWidth="1"/>
    <col min="24" max="24" width="15.85546875" customWidth="1"/>
    <col min="257" max="257" width="9" customWidth="1"/>
    <col min="258" max="258" width="7.5703125" customWidth="1"/>
    <col min="259" max="259" width="12.140625" customWidth="1"/>
    <col min="260" max="260" width="12" customWidth="1"/>
    <col min="261" max="261" width="19" customWidth="1"/>
    <col min="262" max="262" width="17.140625" customWidth="1"/>
    <col min="263" max="263" width="6.5703125" customWidth="1"/>
    <col min="265" max="265" width="9.28515625" customWidth="1"/>
    <col min="266" max="266" width="18.7109375" customWidth="1"/>
    <col min="267" max="267" width="7.85546875" customWidth="1"/>
    <col min="268" max="268" width="9.7109375" customWidth="1"/>
    <col min="269" max="269" width="15" customWidth="1"/>
    <col min="270" max="270" width="6.7109375" customWidth="1"/>
    <col min="271" max="271" width="8.28515625" customWidth="1"/>
    <col min="278" max="278" width="5.85546875" customWidth="1"/>
    <col min="280" max="280" width="15.85546875" customWidth="1"/>
    <col min="513" max="513" width="9" customWidth="1"/>
    <col min="514" max="514" width="7.5703125" customWidth="1"/>
    <col min="515" max="515" width="12.140625" customWidth="1"/>
    <col min="516" max="516" width="12" customWidth="1"/>
    <col min="517" max="517" width="19" customWidth="1"/>
    <col min="518" max="518" width="17.140625" customWidth="1"/>
    <col min="519" max="519" width="6.5703125" customWidth="1"/>
    <col min="521" max="521" width="9.28515625" customWidth="1"/>
    <col min="522" max="522" width="18.7109375" customWidth="1"/>
    <col min="523" max="523" width="7.85546875" customWidth="1"/>
    <col min="524" max="524" width="9.7109375" customWidth="1"/>
    <col min="525" max="525" width="15" customWidth="1"/>
    <col min="526" max="526" width="6.7109375" customWidth="1"/>
    <col min="527" max="527" width="8.28515625" customWidth="1"/>
    <col min="534" max="534" width="5.85546875" customWidth="1"/>
    <col min="536" max="536" width="15.85546875" customWidth="1"/>
    <col min="769" max="769" width="9" customWidth="1"/>
    <col min="770" max="770" width="7.5703125" customWidth="1"/>
    <col min="771" max="771" width="12.140625" customWidth="1"/>
    <col min="772" max="772" width="12" customWidth="1"/>
    <col min="773" max="773" width="19" customWidth="1"/>
    <col min="774" max="774" width="17.140625" customWidth="1"/>
    <col min="775" max="775" width="6.5703125" customWidth="1"/>
    <col min="777" max="777" width="9.28515625" customWidth="1"/>
    <col min="778" max="778" width="18.7109375" customWidth="1"/>
    <col min="779" max="779" width="7.85546875" customWidth="1"/>
    <col min="780" max="780" width="9.7109375" customWidth="1"/>
    <col min="781" max="781" width="15" customWidth="1"/>
    <col min="782" max="782" width="6.7109375" customWidth="1"/>
    <col min="783" max="783" width="8.28515625" customWidth="1"/>
    <col min="790" max="790" width="5.85546875" customWidth="1"/>
    <col min="792" max="792" width="15.85546875" customWidth="1"/>
    <col min="1025" max="1025" width="9" customWidth="1"/>
    <col min="1026" max="1026" width="7.5703125" customWidth="1"/>
    <col min="1027" max="1027" width="12.140625" customWidth="1"/>
    <col min="1028" max="1028" width="12" customWidth="1"/>
    <col min="1029" max="1029" width="19" customWidth="1"/>
    <col min="1030" max="1030" width="17.140625" customWidth="1"/>
    <col min="1031" max="1031" width="6.5703125" customWidth="1"/>
    <col min="1033" max="1033" width="9.28515625" customWidth="1"/>
    <col min="1034" max="1034" width="18.7109375" customWidth="1"/>
    <col min="1035" max="1035" width="7.85546875" customWidth="1"/>
    <col min="1036" max="1036" width="9.7109375" customWidth="1"/>
    <col min="1037" max="1037" width="15" customWidth="1"/>
    <col min="1038" max="1038" width="6.7109375" customWidth="1"/>
    <col min="1039" max="1039" width="8.28515625" customWidth="1"/>
    <col min="1046" max="1046" width="5.85546875" customWidth="1"/>
    <col min="1048" max="1048" width="15.85546875" customWidth="1"/>
    <col min="1281" max="1281" width="9" customWidth="1"/>
    <col min="1282" max="1282" width="7.5703125" customWidth="1"/>
    <col min="1283" max="1283" width="12.140625" customWidth="1"/>
    <col min="1284" max="1284" width="12" customWidth="1"/>
    <col min="1285" max="1285" width="19" customWidth="1"/>
    <col min="1286" max="1286" width="17.140625" customWidth="1"/>
    <col min="1287" max="1287" width="6.5703125" customWidth="1"/>
    <col min="1289" max="1289" width="9.28515625" customWidth="1"/>
    <col min="1290" max="1290" width="18.7109375" customWidth="1"/>
    <col min="1291" max="1291" width="7.85546875" customWidth="1"/>
    <col min="1292" max="1292" width="9.7109375" customWidth="1"/>
    <col min="1293" max="1293" width="15" customWidth="1"/>
    <col min="1294" max="1294" width="6.7109375" customWidth="1"/>
    <col min="1295" max="1295" width="8.28515625" customWidth="1"/>
    <col min="1302" max="1302" width="5.85546875" customWidth="1"/>
    <col min="1304" max="1304" width="15.85546875" customWidth="1"/>
    <col min="1537" max="1537" width="9" customWidth="1"/>
    <col min="1538" max="1538" width="7.5703125" customWidth="1"/>
    <col min="1539" max="1539" width="12.140625" customWidth="1"/>
    <col min="1540" max="1540" width="12" customWidth="1"/>
    <col min="1541" max="1541" width="19" customWidth="1"/>
    <col min="1542" max="1542" width="17.140625" customWidth="1"/>
    <col min="1543" max="1543" width="6.5703125" customWidth="1"/>
    <col min="1545" max="1545" width="9.28515625" customWidth="1"/>
    <col min="1546" max="1546" width="18.7109375" customWidth="1"/>
    <col min="1547" max="1547" width="7.85546875" customWidth="1"/>
    <col min="1548" max="1548" width="9.7109375" customWidth="1"/>
    <col min="1549" max="1549" width="15" customWidth="1"/>
    <col min="1550" max="1550" width="6.7109375" customWidth="1"/>
    <col min="1551" max="1551" width="8.28515625" customWidth="1"/>
    <col min="1558" max="1558" width="5.85546875" customWidth="1"/>
    <col min="1560" max="1560" width="15.85546875" customWidth="1"/>
    <col min="1793" max="1793" width="9" customWidth="1"/>
    <col min="1794" max="1794" width="7.5703125" customWidth="1"/>
    <col min="1795" max="1795" width="12.140625" customWidth="1"/>
    <col min="1796" max="1796" width="12" customWidth="1"/>
    <col min="1797" max="1797" width="19" customWidth="1"/>
    <col min="1798" max="1798" width="17.140625" customWidth="1"/>
    <col min="1799" max="1799" width="6.5703125" customWidth="1"/>
    <col min="1801" max="1801" width="9.28515625" customWidth="1"/>
    <col min="1802" max="1802" width="18.7109375" customWidth="1"/>
    <col min="1803" max="1803" width="7.85546875" customWidth="1"/>
    <col min="1804" max="1804" width="9.7109375" customWidth="1"/>
    <col min="1805" max="1805" width="15" customWidth="1"/>
    <col min="1806" max="1806" width="6.7109375" customWidth="1"/>
    <col min="1807" max="1807" width="8.28515625" customWidth="1"/>
    <col min="1814" max="1814" width="5.85546875" customWidth="1"/>
    <col min="1816" max="1816" width="15.85546875" customWidth="1"/>
    <col min="2049" max="2049" width="9" customWidth="1"/>
    <col min="2050" max="2050" width="7.5703125" customWidth="1"/>
    <col min="2051" max="2051" width="12.140625" customWidth="1"/>
    <col min="2052" max="2052" width="12" customWidth="1"/>
    <col min="2053" max="2053" width="19" customWidth="1"/>
    <col min="2054" max="2054" width="17.140625" customWidth="1"/>
    <col min="2055" max="2055" width="6.5703125" customWidth="1"/>
    <col min="2057" max="2057" width="9.28515625" customWidth="1"/>
    <col min="2058" max="2058" width="18.7109375" customWidth="1"/>
    <col min="2059" max="2059" width="7.85546875" customWidth="1"/>
    <col min="2060" max="2060" width="9.7109375" customWidth="1"/>
    <col min="2061" max="2061" width="15" customWidth="1"/>
    <col min="2062" max="2062" width="6.7109375" customWidth="1"/>
    <col min="2063" max="2063" width="8.28515625" customWidth="1"/>
    <col min="2070" max="2070" width="5.85546875" customWidth="1"/>
    <col min="2072" max="2072" width="15.85546875" customWidth="1"/>
    <col min="2305" max="2305" width="9" customWidth="1"/>
    <col min="2306" max="2306" width="7.5703125" customWidth="1"/>
    <col min="2307" max="2307" width="12.140625" customWidth="1"/>
    <col min="2308" max="2308" width="12" customWidth="1"/>
    <col min="2309" max="2309" width="19" customWidth="1"/>
    <col min="2310" max="2310" width="17.140625" customWidth="1"/>
    <col min="2311" max="2311" width="6.5703125" customWidth="1"/>
    <col min="2313" max="2313" width="9.28515625" customWidth="1"/>
    <col min="2314" max="2314" width="18.7109375" customWidth="1"/>
    <col min="2315" max="2315" width="7.85546875" customWidth="1"/>
    <col min="2316" max="2316" width="9.7109375" customWidth="1"/>
    <col min="2317" max="2317" width="15" customWidth="1"/>
    <col min="2318" max="2318" width="6.7109375" customWidth="1"/>
    <col min="2319" max="2319" width="8.28515625" customWidth="1"/>
    <col min="2326" max="2326" width="5.85546875" customWidth="1"/>
    <col min="2328" max="2328" width="15.85546875" customWidth="1"/>
    <col min="2561" max="2561" width="9" customWidth="1"/>
    <col min="2562" max="2562" width="7.5703125" customWidth="1"/>
    <col min="2563" max="2563" width="12.140625" customWidth="1"/>
    <col min="2564" max="2564" width="12" customWidth="1"/>
    <col min="2565" max="2565" width="19" customWidth="1"/>
    <col min="2566" max="2566" width="17.140625" customWidth="1"/>
    <col min="2567" max="2567" width="6.5703125" customWidth="1"/>
    <col min="2569" max="2569" width="9.28515625" customWidth="1"/>
    <col min="2570" max="2570" width="18.7109375" customWidth="1"/>
    <col min="2571" max="2571" width="7.85546875" customWidth="1"/>
    <col min="2572" max="2572" width="9.7109375" customWidth="1"/>
    <col min="2573" max="2573" width="15" customWidth="1"/>
    <col min="2574" max="2574" width="6.7109375" customWidth="1"/>
    <col min="2575" max="2575" width="8.28515625" customWidth="1"/>
    <col min="2582" max="2582" width="5.85546875" customWidth="1"/>
    <col min="2584" max="2584" width="15.85546875" customWidth="1"/>
    <col min="2817" max="2817" width="9" customWidth="1"/>
    <col min="2818" max="2818" width="7.5703125" customWidth="1"/>
    <col min="2819" max="2819" width="12.140625" customWidth="1"/>
    <col min="2820" max="2820" width="12" customWidth="1"/>
    <col min="2821" max="2821" width="19" customWidth="1"/>
    <col min="2822" max="2822" width="17.140625" customWidth="1"/>
    <col min="2823" max="2823" width="6.5703125" customWidth="1"/>
    <col min="2825" max="2825" width="9.28515625" customWidth="1"/>
    <col min="2826" max="2826" width="18.7109375" customWidth="1"/>
    <col min="2827" max="2827" width="7.85546875" customWidth="1"/>
    <col min="2828" max="2828" width="9.7109375" customWidth="1"/>
    <col min="2829" max="2829" width="15" customWidth="1"/>
    <col min="2830" max="2830" width="6.7109375" customWidth="1"/>
    <col min="2831" max="2831" width="8.28515625" customWidth="1"/>
    <col min="2838" max="2838" width="5.85546875" customWidth="1"/>
    <col min="2840" max="2840" width="15.85546875" customWidth="1"/>
    <col min="3073" max="3073" width="9" customWidth="1"/>
    <col min="3074" max="3074" width="7.5703125" customWidth="1"/>
    <col min="3075" max="3075" width="12.140625" customWidth="1"/>
    <col min="3076" max="3076" width="12" customWidth="1"/>
    <col min="3077" max="3077" width="19" customWidth="1"/>
    <col min="3078" max="3078" width="17.140625" customWidth="1"/>
    <col min="3079" max="3079" width="6.5703125" customWidth="1"/>
    <col min="3081" max="3081" width="9.28515625" customWidth="1"/>
    <col min="3082" max="3082" width="18.7109375" customWidth="1"/>
    <col min="3083" max="3083" width="7.85546875" customWidth="1"/>
    <col min="3084" max="3084" width="9.7109375" customWidth="1"/>
    <col min="3085" max="3085" width="15" customWidth="1"/>
    <col min="3086" max="3086" width="6.7109375" customWidth="1"/>
    <col min="3087" max="3087" width="8.28515625" customWidth="1"/>
    <col min="3094" max="3094" width="5.85546875" customWidth="1"/>
    <col min="3096" max="3096" width="15.85546875" customWidth="1"/>
    <col min="3329" max="3329" width="9" customWidth="1"/>
    <col min="3330" max="3330" width="7.5703125" customWidth="1"/>
    <col min="3331" max="3331" width="12.140625" customWidth="1"/>
    <col min="3332" max="3332" width="12" customWidth="1"/>
    <col min="3333" max="3333" width="19" customWidth="1"/>
    <col min="3334" max="3334" width="17.140625" customWidth="1"/>
    <col min="3335" max="3335" width="6.5703125" customWidth="1"/>
    <col min="3337" max="3337" width="9.28515625" customWidth="1"/>
    <col min="3338" max="3338" width="18.7109375" customWidth="1"/>
    <col min="3339" max="3339" width="7.85546875" customWidth="1"/>
    <col min="3340" max="3340" width="9.7109375" customWidth="1"/>
    <col min="3341" max="3341" width="15" customWidth="1"/>
    <col min="3342" max="3342" width="6.7109375" customWidth="1"/>
    <col min="3343" max="3343" width="8.28515625" customWidth="1"/>
    <col min="3350" max="3350" width="5.85546875" customWidth="1"/>
    <col min="3352" max="3352" width="15.85546875" customWidth="1"/>
    <col min="3585" max="3585" width="9" customWidth="1"/>
    <col min="3586" max="3586" width="7.5703125" customWidth="1"/>
    <col min="3587" max="3587" width="12.140625" customWidth="1"/>
    <col min="3588" max="3588" width="12" customWidth="1"/>
    <col min="3589" max="3589" width="19" customWidth="1"/>
    <col min="3590" max="3590" width="17.140625" customWidth="1"/>
    <col min="3591" max="3591" width="6.5703125" customWidth="1"/>
    <col min="3593" max="3593" width="9.28515625" customWidth="1"/>
    <col min="3594" max="3594" width="18.7109375" customWidth="1"/>
    <col min="3595" max="3595" width="7.85546875" customWidth="1"/>
    <col min="3596" max="3596" width="9.7109375" customWidth="1"/>
    <col min="3597" max="3597" width="15" customWidth="1"/>
    <col min="3598" max="3598" width="6.7109375" customWidth="1"/>
    <col min="3599" max="3599" width="8.28515625" customWidth="1"/>
    <col min="3606" max="3606" width="5.85546875" customWidth="1"/>
    <col min="3608" max="3608" width="15.85546875" customWidth="1"/>
    <col min="3841" max="3841" width="9" customWidth="1"/>
    <col min="3842" max="3842" width="7.5703125" customWidth="1"/>
    <col min="3843" max="3843" width="12.140625" customWidth="1"/>
    <col min="3844" max="3844" width="12" customWidth="1"/>
    <col min="3845" max="3845" width="19" customWidth="1"/>
    <col min="3846" max="3846" width="17.140625" customWidth="1"/>
    <col min="3847" max="3847" width="6.5703125" customWidth="1"/>
    <col min="3849" max="3849" width="9.28515625" customWidth="1"/>
    <col min="3850" max="3850" width="18.7109375" customWidth="1"/>
    <col min="3851" max="3851" width="7.85546875" customWidth="1"/>
    <col min="3852" max="3852" width="9.7109375" customWidth="1"/>
    <col min="3853" max="3853" width="15" customWidth="1"/>
    <col min="3854" max="3854" width="6.7109375" customWidth="1"/>
    <col min="3855" max="3855" width="8.28515625" customWidth="1"/>
    <col min="3862" max="3862" width="5.85546875" customWidth="1"/>
    <col min="3864" max="3864" width="15.85546875" customWidth="1"/>
    <col min="4097" max="4097" width="9" customWidth="1"/>
    <col min="4098" max="4098" width="7.5703125" customWidth="1"/>
    <col min="4099" max="4099" width="12.140625" customWidth="1"/>
    <col min="4100" max="4100" width="12" customWidth="1"/>
    <col min="4101" max="4101" width="19" customWidth="1"/>
    <col min="4102" max="4102" width="17.140625" customWidth="1"/>
    <col min="4103" max="4103" width="6.5703125" customWidth="1"/>
    <col min="4105" max="4105" width="9.28515625" customWidth="1"/>
    <col min="4106" max="4106" width="18.7109375" customWidth="1"/>
    <col min="4107" max="4107" width="7.85546875" customWidth="1"/>
    <col min="4108" max="4108" width="9.7109375" customWidth="1"/>
    <col min="4109" max="4109" width="15" customWidth="1"/>
    <col min="4110" max="4110" width="6.7109375" customWidth="1"/>
    <col min="4111" max="4111" width="8.28515625" customWidth="1"/>
    <col min="4118" max="4118" width="5.85546875" customWidth="1"/>
    <col min="4120" max="4120" width="15.85546875" customWidth="1"/>
    <col min="4353" max="4353" width="9" customWidth="1"/>
    <col min="4354" max="4354" width="7.5703125" customWidth="1"/>
    <col min="4355" max="4355" width="12.140625" customWidth="1"/>
    <col min="4356" max="4356" width="12" customWidth="1"/>
    <col min="4357" max="4357" width="19" customWidth="1"/>
    <col min="4358" max="4358" width="17.140625" customWidth="1"/>
    <col min="4359" max="4359" width="6.5703125" customWidth="1"/>
    <col min="4361" max="4361" width="9.28515625" customWidth="1"/>
    <col min="4362" max="4362" width="18.7109375" customWidth="1"/>
    <col min="4363" max="4363" width="7.85546875" customWidth="1"/>
    <col min="4364" max="4364" width="9.7109375" customWidth="1"/>
    <col min="4365" max="4365" width="15" customWidth="1"/>
    <col min="4366" max="4366" width="6.7109375" customWidth="1"/>
    <col min="4367" max="4367" width="8.28515625" customWidth="1"/>
    <col min="4374" max="4374" width="5.85546875" customWidth="1"/>
    <col min="4376" max="4376" width="15.85546875" customWidth="1"/>
    <col min="4609" max="4609" width="9" customWidth="1"/>
    <col min="4610" max="4610" width="7.5703125" customWidth="1"/>
    <col min="4611" max="4611" width="12.140625" customWidth="1"/>
    <col min="4612" max="4612" width="12" customWidth="1"/>
    <col min="4613" max="4613" width="19" customWidth="1"/>
    <col min="4614" max="4614" width="17.140625" customWidth="1"/>
    <col min="4615" max="4615" width="6.5703125" customWidth="1"/>
    <col min="4617" max="4617" width="9.28515625" customWidth="1"/>
    <col min="4618" max="4618" width="18.7109375" customWidth="1"/>
    <col min="4619" max="4619" width="7.85546875" customWidth="1"/>
    <col min="4620" max="4620" width="9.7109375" customWidth="1"/>
    <col min="4621" max="4621" width="15" customWidth="1"/>
    <col min="4622" max="4622" width="6.7109375" customWidth="1"/>
    <col min="4623" max="4623" width="8.28515625" customWidth="1"/>
    <col min="4630" max="4630" width="5.85546875" customWidth="1"/>
    <col min="4632" max="4632" width="15.85546875" customWidth="1"/>
    <col min="4865" max="4865" width="9" customWidth="1"/>
    <col min="4866" max="4866" width="7.5703125" customWidth="1"/>
    <col min="4867" max="4867" width="12.140625" customWidth="1"/>
    <col min="4868" max="4868" width="12" customWidth="1"/>
    <col min="4869" max="4869" width="19" customWidth="1"/>
    <col min="4870" max="4870" width="17.140625" customWidth="1"/>
    <col min="4871" max="4871" width="6.5703125" customWidth="1"/>
    <col min="4873" max="4873" width="9.28515625" customWidth="1"/>
    <col min="4874" max="4874" width="18.7109375" customWidth="1"/>
    <col min="4875" max="4875" width="7.85546875" customWidth="1"/>
    <col min="4876" max="4876" width="9.7109375" customWidth="1"/>
    <col min="4877" max="4877" width="15" customWidth="1"/>
    <col min="4878" max="4878" width="6.7109375" customWidth="1"/>
    <col min="4879" max="4879" width="8.28515625" customWidth="1"/>
    <col min="4886" max="4886" width="5.85546875" customWidth="1"/>
    <col min="4888" max="4888" width="15.85546875" customWidth="1"/>
    <col min="5121" max="5121" width="9" customWidth="1"/>
    <col min="5122" max="5122" width="7.5703125" customWidth="1"/>
    <col min="5123" max="5123" width="12.140625" customWidth="1"/>
    <col min="5124" max="5124" width="12" customWidth="1"/>
    <col min="5125" max="5125" width="19" customWidth="1"/>
    <col min="5126" max="5126" width="17.140625" customWidth="1"/>
    <col min="5127" max="5127" width="6.5703125" customWidth="1"/>
    <col min="5129" max="5129" width="9.28515625" customWidth="1"/>
    <col min="5130" max="5130" width="18.7109375" customWidth="1"/>
    <col min="5131" max="5131" width="7.85546875" customWidth="1"/>
    <col min="5132" max="5132" width="9.7109375" customWidth="1"/>
    <col min="5133" max="5133" width="15" customWidth="1"/>
    <col min="5134" max="5134" width="6.7109375" customWidth="1"/>
    <col min="5135" max="5135" width="8.28515625" customWidth="1"/>
    <col min="5142" max="5142" width="5.85546875" customWidth="1"/>
    <col min="5144" max="5144" width="15.85546875" customWidth="1"/>
    <col min="5377" max="5377" width="9" customWidth="1"/>
    <col min="5378" max="5378" width="7.5703125" customWidth="1"/>
    <col min="5379" max="5379" width="12.140625" customWidth="1"/>
    <col min="5380" max="5380" width="12" customWidth="1"/>
    <col min="5381" max="5381" width="19" customWidth="1"/>
    <col min="5382" max="5382" width="17.140625" customWidth="1"/>
    <col min="5383" max="5383" width="6.5703125" customWidth="1"/>
    <col min="5385" max="5385" width="9.28515625" customWidth="1"/>
    <col min="5386" max="5386" width="18.7109375" customWidth="1"/>
    <col min="5387" max="5387" width="7.85546875" customWidth="1"/>
    <col min="5388" max="5388" width="9.7109375" customWidth="1"/>
    <col min="5389" max="5389" width="15" customWidth="1"/>
    <col min="5390" max="5390" width="6.7109375" customWidth="1"/>
    <col min="5391" max="5391" width="8.28515625" customWidth="1"/>
    <col min="5398" max="5398" width="5.85546875" customWidth="1"/>
    <col min="5400" max="5400" width="15.85546875" customWidth="1"/>
    <col min="5633" max="5633" width="9" customWidth="1"/>
    <col min="5634" max="5634" width="7.5703125" customWidth="1"/>
    <col min="5635" max="5635" width="12.140625" customWidth="1"/>
    <col min="5636" max="5636" width="12" customWidth="1"/>
    <col min="5637" max="5637" width="19" customWidth="1"/>
    <col min="5638" max="5638" width="17.140625" customWidth="1"/>
    <col min="5639" max="5639" width="6.5703125" customWidth="1"/>
    <col min="5641" max="5641" width="9.28515625" customWidth="1"/>
    <col min="5642" max="5642" width="18.7109375" customWidth="1"/>
    <col min="5643" max="5643" width="7.85546875" customWidth="1"/>
    <col min="5644" max="5644" width="9.7109375" customWidth="1"/>
    <col min="5645" max="5645" width="15" customWidth="1"/>
    <col min="5646" max="5646" width="6.7109375" customWidth="1"/>
    <col min="5647" max="5647" width="8.28515625" customWidth="1"/>
    <col min="5654" max="5654" width="5.85546875" customWidth="1"/>
    <col min="5656" max="5656" width="15.85546875" customWidth="1"/>
    <col min="5889" max="5889" width="9" customWidth="1"/>
    <col min="5890" max="5890" width="7.5703125" customWidth="1"/>
    <col min="5891" max="5891" width="12.140625" customWidth="1"/>
    <col min="5892" max="5892" width="12" customWidth="1"/>
    <col min="5893" max="5893" width="19" customWidth="1"/>
    <col min="5894" max="5894" width="17.140625" customWidth="1"/>
    <col min="5895" max="5895" width="6.5703125" customWidth="1"/>
    <col min="5897" max="5897" width="9.28515625" customWidth="1"/>
    <col min="5898" max="5898" width="18.7109375" customWidth="1"/>
    <col min="5899" max="5899" width="7.85546875" customWidth="1"/>
    <col min="5900" max="5900" width="9.7109375" customWidth="1"/>
    <col min="5901" max="5901" width="15" customWidth="1"/>
    <col min="5902" max="5902" width="6.7109375" customWidth="1"/>
    <col min="5903" max="5903" width="8.28515625" customWidth="1"/>
    <col min="5910" max="5910" width="5.85546875" customWidth="1"/>
    <col min="5912" max="5912" width="15.85546875" customWidth="1"/>
    <col min="6145" max="6145" width="9" customWidth="1"/>
    <col min="6146" max="6146" width="7.5703125" customWidth="1"/>
    <col min="6147" max="6147" width="12.140625" customWidth="1"/>
    <col min="6148" max="6148" width="12" customWidth="1"/>
    <col min="6149" max="6149" width="19" customWidth="1"/>
    <col min="6150" max="6150" width="17.140625" customWidth="1"/>
    <col min="6151" max="6151" width="6.5703125" customWidth="1"/>
    <col min="6153" max="6153" width="9.28515625" customWidth="1"/>
    <col min="6154" max="6154" width="18.7109375" customWidth="1"/>
    <col min="6155" max="6155" width="7.85546875" customWidth="1"/>
    <col min="6156" max="6156" width="9.7109375" customWidth="1"/>
    <col min="6157" max="6157" width="15" customWidth="1"/>
    <col min="6158" max="6158" width="6.7109375" customWidth="1"/>
    <col min="6159" max="6159" width="8.28515625" customWidth="1"/>
    <col min="6166" max="6166" width="5.85546875" customWidth="1"/>
    <col min="6168" max="6168" width="15.85546875" customWidth="1"/>
    <col min="6401" max="6401" width="9" customWidth="1"/>
    <col min="6402" max="6402" width="7.5703125" customWidth="1"/>
    <col min="6403" max="6403" width="12.140625" customWidth="1"/>
    <col min="6404" max="6404" width="12" customWidth="1"/>
    <col min="6405" max="6405" width="19" customWidth="1"/>
    <col min="6406" max="6406" width="17.140625" customWidth="1"/>
    <col min="6407" max="6407" width="6.5703125" customWidth="1"/>
    <col min="6409" max="6409" width="9.28515625" customWidth="1"/>
    <col min="6410" max="6410" width="18.7109375" customWidth="1"/>
    <col min="6411" max="6411" width="7.85546875" customWidth="1"/>
    <col min="6412" max="6412" width="9.7109375" customWidth="1"/>
    <col min="6413" max="6413" width="15" customWidth="1"/>
    <col min="6414" max="6414" width="6.7109375" customWidth="1"/>
    <col min="6415" max="6415" width="8.28515625" customWidth="1"/>
    <col min="6422" max="6422" width="5.85546875" customWidth="1"/>
    <col min="6424" max="6424" width="15.85546875" customWidth="1"/>
    <col min="6657" max="6657" width="9" customWidth="1"/>
    <col min="6658" max="6658" width="7.5703125" customWidth="1"/>
    <col min="6659" max="6659" width="12.140625" customWidth="1"/>
    <col min="6660" max="6660" width="12" customWidth="1"/>
    <col min="6661" max="6661" width="19" customWidth="1"/>
    <col min="6662" max="6662" width="17.140625" customWidth="1"/>
    <col min="6663" max="6663" width="6.5703125" customWidth="1"/>
    <col min="6665" max="6665" width="9.28515625" customWidth="1"/>
    <col min="6666" max="6666" width="18.7109375" customWidth="1"/>
    <col min="6667" max="6667" width="7.85546875" customWidth="1"/>
    <col min="6668" max="6668" width="9.7109375" customWidth="1"/>
    <col min="6669" max="6669" width="15" customWidth="1"/>
    <col min="6670" max="6670" width="6.7109375" customWidth="1"/>
    <col min="6671" max="6671" width="8.28515625" customWidth="1"/>
    <col min="6678" max="6678" width="5.85546875" customWidth="1"/>
    <col min="6680" max="6680" width="15.85546875" customWidth="1"/>
    <col min="6913" max="6913" width="9" customWidth="1"/>
    <col min="6914" max="6914" width="7.5703125" customWidth="1"/>
    <col min="6915" max="6915" width="12.140625" customWidth="1"/>
    <col min="6916" max="6916" width="12" customWidth="1"/>
    <col min="6917" max="6917" width="19" customWidth="1"/>
    <col min="6918" max="6918" width="17.140625" customWidth="1"/>
    <col min="6919" max="6919" width="6.5703125" customWidth="1"/>
    <col min="6921" max="6921" width="9.28515625" customWidth="1"/>
    <col min="6922" max="6922" width="18.7109375" customWidth="1"/>
    <col min="6923" max="6923" width="7.85546875" customWidth="1"/>
    <col min="6924" max="6924" width="9.7109375" customWidth="1"/>
    <col min="6925" max="6925" width="15" customWidth="1"/>
    <col min="6926" max="6926" width="6.7109375" customWidth="1"/>
    <col min="6927" max="6927" width="8.28515625" customWidth="1"/>
    <col min="6934" max="6934" width="5.85546875" customWidth="1"/>
    <col min="6936" max="6936" width="15.85546875" customWidth="1"/>
    <col min="7169" max="7169" width="9" customWidth="1"/>
    <col min="7170" max="7170" width="7.5703125" customWidth="1"/>
    <col min="7171" max="7171" width="12.140625" customWidth="1"/>
    <col min="7172" max="7172" width="12" customWidth="1"/>
    <col min="7173" max="7173" width="19" customWidth="1"/>
    <col min="7174" max="7174" width="17.140625" customWidth="1"/>
    <col min="7175" max="7175" width="6.5703125" customWidth="1"/>
    <col min="7177" max="7177" width="9.28515625" customWidth="1"/>
    <col min="7178" max="7178" width="18.7109375" customWidth="1"/>
    <col min="7179" max="7179" width="7.85546875" customWidth="1"/>
    <col min="7180" max="7180" width="9.7109375" customWidth="1"/>
    <col min="7181" max="7181" width="15" customWidth="1"/>
    <col min="7182" max="7182" width="6.7109375" customWidth="1"/>
    <col min="7183" max="7183" width="8.28515625" customWidth="1"/>
    <col min="7190" max="7190" width="5.85546875" customWidth="1"/>
    <col min="7192" max="7192" width="15.85546875" customWidth="1"/>
    <col min="7425" max="7425" width="9" customWidth="1"/>
    <col min="7426" max="7426" width="7.5703125" customWidth="1"/>
    <col min="7427" max="7427" width="12.140625" customWidth="1"/>
    <col min="7428" max="7428" width="12" customWidth="1"/>
    <col min="7429" max="7429" width="19" customWidth="1"/>
    <col min="7430" max="7430" width="17.140625" customWidth="1"/>
    <col min="7431" max="7431" width="6.5703125" customWidth="1"/>
    <col min="7433" max="7433" width="9.28515625" customWidth="1"/>
    <col min="7434" max="7434" width="18.7109375" customWidth="1"/>
    <col min="7435" max="7435" width="7.85546875" customWidth="1"/>
    <col min="7436" max="7436" width="9.7109375" customWidth="1"/>
    <col min="7437" max="7437" width="15" customWidth="1"/>
    <col min="7438" max="7438" width="6.7109375" customWidth="1"/>
    <col min="7439" max="7439" width="8.28515625" customWidth="1"/>
    <col min="7446" max="7446" width="5.85546875" customWidth="1"/>
    <col min="7448" max="7448" width="15.85546875" customWidth="1"/>
    <col min="7681" max="7681" width="9" customWidth="1"/>
    <col min="7682" max="7682" width="7.5703125" customWidth="1"/>
    <col min="7683" max="7683" width="12.140625" customWidth="1"/>
    <col min="7684" max="7684" width="12" customWidth="1"/>
    <col min="7685" max="7685" width="19" customWidth="1"/>
    <col min="7686" max="7686" width="17.140625" customWidth="1"/>
    <col min="7687" max="7687" width="6.5703125" customWidth="1"/>
    <col min="7689" max="7689" width="9.28515625" customWidth="1"/>
    <col min="7690" max="7690" width="18.7109375" customWidth="1"/>
    <col min="7691" max="7691" width="7.85546875" customWidth="1"/>
    <col min="7692" max="7692" width="9.7109375" customWidth="1"/>
    <col min="7693" max="7693" width="15" customWidth="1"/>
    <col min="7694" max="7694" width="6.7109375" customWidth="1"/>
    <col min="7695" max="7695" width="8.28515625" customWidth="1"/>
    <col min="7702" max="7702" width="5.85546875" customWidth="1"/>
    <col min="7704" max="7704" width="15.85546875" customWidth="1"/>
    <col min="7937" max="7937" width="9" customWidth="1"/>
    <col min="7938" max="7938" width="7.5703125" customWidth="1"/>
    <col min="7939" max="7939" width="12.140625" customWidth="1"/>
    <col min="7940" max="7940" width="12" customWidth="1"/>
    <col min="7941" max="7941" width="19" customWidth="1"/>
    <col min="7942" max="7942" width="17.140625" customWidth="1"/>
    <col min="7943" max="7943" width="6.5703125" customWidth="1"/>
    <col min="7945" max="7945" width="9.28515625" customWidth="1"/>
    <col min="7946" max="7946" width="18.7109375" customWidth="1"/>
    <col min="7947" max="7947" width="7.85546875" customWidth="1"/>
    <col min="7948" max="7948" width="9.7109375" customWidth="1"/>
    <col min="7949" max="7949" width="15" customWidth="1"/>
    <col min="7950" max="7950" width="6.7109375" customWidth="1"/>
    <col min="7951" max="7951" width="8.28515625" customWidth="1"/>
    <col min="7958" max="7958" width="5.85546875" customWidth="1"/>
    <col min="7960" max="7960" width="15.85546875" customWidth="1"/>
    <col min="8193" max="8193" width="9" customWidth="1"/>
    <col min="8194" max="8194" width="7.5703125" customWidth="1"/>
    <col min="8195" max="8195" width="12.140625" customWidth="1"/>
    <col min="8196" max="8196" width="12" customWidth="1"/>
    <col min="8197" max="8197" width="19" customWidth="1"/>
    <col min="8198" max="8198" width="17.140625" customWidth="1"/>
    <col min="8199" max="8199" width="6.5703125" customWidth="1"/>
    <col min="8201" max="8201" width="9.28515625" customWidth="1"/>
    <col min="8202" max="8202" width="18.7109375" customWidth="1"/>
    <col min="8203" max="8203" width="7.85546875" customWidth="1"/>
    <col min="8204" max="8204" width="9.7109375" customWidth="1"/>
    <col min="8205" max="8205" width="15" customWidth="1"/>
    <col min="8206" max="8206" width="6.7109375" customWidth="1"/>
    <col min="8207" max="8207" width="8.28515625" customWidth="1"/>
    <col min="8214" max="8214" width="5.85546875" customWidth="1"/>
    <col min="8216" max="8216" width="15.85546875" customWidth="1"/>
    <col min="8449" max="8449" width="9" customWidth="1"/>
    <col min="8450" max="8450" width="7.5703125" customWidth="1"/>
    <col min="8451" max="8451" width="12.140625" customWidth="1"/>
    <col min="8452" max="8452" width="12" customWidth="1"/>
    <col min="8453" max="8453" width="19" customWidth="1"/>
    <col min="8454" max="8454" width="17.140625" customWidth="1"/>
    <col min="8455" max="8455" width="6.5703125" customWidth="1"/>
    <col min="8457" max="8457" width="9.28515625" customWidth="1"/>
    <col min="8458" max="8458" width="18.7109375" customWidth="1"/>
    <col min="8459" max="8459" width="7.85546875" customWidth="1"/>
    <col min="8460" max="8460" width="9.7109375" customWidth="1"/>
    <col min="8461" max="8461" width="15" customWidth="1"/>
    <col min="8462" max="8462" width="6.7109375" customWidth="1"/>
    <col min="8463" max="8463" width="8.28515625" customWidth="1"/>
    <col min="8470" max="8470" width="5.85546875" customWidth="1"/>
    <col min="8472" max="8472" width="15.85546875" customWidth="1"/>
    <col min="8705" max="8705" width="9" customWidth="1"/>
    <col min="8706" max="8706" width="7.5703125" customWidth="1"/>
    <col min="8707" max="8707" width="12.140625" customWidth="1"/>
    <col min="8708" max="8708" width="12" customWidth="1"/>
    <col min="8709" max="8709" width="19" customWidth="1"/>
    <col min="8710" max="8710" width="17.140625" customWidth="1"/>
    <col min="8711" max="8711" width="6.5703125" customWidth="1"/>
    <col min="8713" max="8713" width="9.28515625" customWidth="1"/>
    <col min="8714" max="8714" width="18.7109375" customWidth="1"/>
    <col min="8715" max="8715" width="7.85546875" customWidth="1"/>
    <col min="8716" max="8716" width="9.7109375" customWidth="1"/>
    <col min="8717" max="8717" width="15" customWidth="1"/>
    <col min="8718" max="8718" width="6.7109375" customWidth="1"/>
    <col min="8719" max="8719" width="8.28515625" customWidth="1"/>
    <col min="8726" max="8726" width="5.85546875" customWidth="1"/>
    <col min="8728" max="8728" width="15.85546875" customWidth="1"/>
    <col min="8961" max="8961" width="9" customWidth="1"/>
    <col min="8962" max="8962" width="7.5703125" customWidth="1"/>
    <col min="8963" max="8963" width="12.140625" customWidth="1"/>
    <col min="8964" max="8964" width="12" customWidth="1"/>
    <col min="8965" max="8965" width="19" customWidth="1"/>
    <col min="8966" max="8966" width="17.140625" customWidth="1"/>
    <col min="8967" max="8967" width="6.5703125" customWidth="1"/>
    <col min="8969" max="8969" width="9.28515625" customWidth="1"/>
    <col min="8970" max="8970" width="18.7109375" customWidth="1"/>
    <col min="8971" max="8971" width="7.85546875" customWidth="1"/>
    <col min="8972" max="8972" width="9.7109375" customWidth="1"/>
    <col min="8973" max="8973" width="15" customWidth="1"/>
    <col min="8974" max="8974" width="6.7109375" customWidth="1"/>
    <col min="8975" max="8975" width="8.28515625" customWidth="1"/>
    <col min="8982" max="8982" width="5.85546875" customWidth="1"/>
    <col min="8984" max="8984" width="15.85546875" customWidth="1"/>
    <col min="9217" max="9217" width="9" customWidth="1"/>
    <col min="9218" max="9218" width="7.5703125" customWidth="1"/>
    <col min="9219" max="9219" width="12.140625" customWidth="1"/>
    <col min="9220" max="9220" width="12" customWidth="1"/>
    <col min="9221" max="9221" width="19" customWidth="1"/>
    <col min="9222" max="9222" width="17.140625" customWidth="1"/>
    <col min="9223" max="9223" width="6.5703125" customWidth="1"/>
    <col min="9225" max="9225" width="9.28515625" customWidth="1"/>
    <col min="9226" max="9226" width="18.7109375" customWidth="1"/>
    <col min="9227" max="9227" width="7.85546875" customWidth="1"/>
    <col min="9228" max="9228" width="9.7109375" customWidth="1"/>
    <col min="9229" max="9229" width="15" customWidth="1"/>
    <col min="9230" max="9230" width="6.7109375" customWidth="1"/>
    <col min="9231" max="9231" width="8.28515625" customWidth="1"/>
    <col min="9238" max="9238" width="5.85546875" customWidth="1"/>
    <col min="9240" max="9240" width="15.85546875" customWidth="1"/>
    <col min="9473" max="9473" width="9" customWidth="1"/>
    <col min="9474" max="9474" width="7.5703125" customWidth="1"/>
    <col min="9475" max="9475" width="12.140625" customWidth="1"/>
    <col min="9476" max="9476" width="12" customWidth="1"/>
    <col min="9477" max="9477" width="19" customWidth="1"/>
    <col min="9478" max="9478" width="17.140625" customWidth="1"/>
    <col min="9479" max="9479" width="6.5703125" customWidth="1"/>
    <col min="9481" max="9481" width="9.28515625" customWidth="1"/>
    <col min="9482" max="9482" width="18.7109375" customWidth="1"/>
    <col min="9483" max="9483" width="7.85546875" customWidth="1"/>
    <col min="9484" max="9484" width="9.7109375" customWidth="1"/>
    <col min="9485" max="9485" width="15" customWidth="1"/>
    <col min="9486" max="9486" width="6.7109375" customWidth="1"/>
    <col min="9487" max="9487" width="8.28515625" customWidth="1"/>
    <col min="9494" max="9494" width="5.85546875" customWidth="1"/>
    <col min="9496" max="9496" width="15.85546875" customWidth="1"/>
    <col min="9729" max="9729" width="9" customWidth="1"/>
    <col min="9730" max="9730" width="7.5703125" customWidth="1"/>
    <col min="9731" max="9731" width="12.140625" customWidth="1"/>
    <col min="9732" max="9732" width="12" customWidth="1"/>
    <col min="9733" max="9733" width="19" customWidth="1"/>
    <col min="9734" max="9734" width="17.140625" customWidth="1"/>
    <col min="9735" max="9735" width="6.5703125" customWidth="1"/>
    <col min="9737" max="9737" width="9.28515625" customWidth="1"/>
    <col min="9738" max="9738" width="18.7109375" customWidth="1"/>
    <col min="9739" max="9739" width="7.85546875" customWidth="1"/>
    <col min="9740" max="9740" width="9.7109375" customWidth="1"/>
    <col min="9741" max="9741" width="15" customWidth="1"/>
    <col min="9742" max="9742" width="6.7109375" customWidth="1"/>
    <col min="9743" max="9743" width="8.28515625" customWidth="1"/>
    <col min="9750" max="9750" width="5.85546875" customWidth="1"/>
    <col min="9752" max="9752" width="15.85546875" customWidth="1"/>
    <col min="9985" max="9985" width="9" customWidth="1"/>
    <col min="9986" max="9986" width="7.5703125" customWidth="1"/>
    <col min="9987" max="9987" width="12.140625" customWidth="1"/>
    <col min="9988" max="9988" width="12" customWidth="1"/>
    <col min="9989" max="9989" width="19" customWidth="1"/>
    <col min="9990" max="9990" width="17.140625" customWidth="1"/>
    <col min="9991" max="9991" width="6.5703125" customWidth="1"/>
    <col min="9993" max="9993" width="9.28515625" customWidth="1"/>
    <col min="9994" max="9994" width="18.7109375" customWidth="1"/>
    <col min="9995" max="9995" width="7.85546875" customWidth="1"/>
    <col min="9996" max="9996" width="9.7109375" customWidth="1"/>
    <col min="9997" max="9997" width="15" customWidth="1"/>
    <col min="9998" max="9998" width="6.7109375" customWidth="1"/>
    <col min="9999" max="9999" width="8.28515625" customWidth="1"/>
    <col min="10006" max="10006" width="5.85546875" customWidth="1"/>
    <col min="10008" max="10008" width="15.85546875" customWidth="1"/>
    <col min="10241" max="10241" width="9" customWidth="1"/>
    <col min="10242" max="10242" width="7.5703125" customWidth="1"/>
    <col min="10243" max="10243" width="12.140625" customWidth="1"/>
    <col min="10244" max="10244" width="12" customWidth="1"/>
    <col min="10245" max="10245" width="19" customWidth="1"/>
    <col min="10246" max="10246" width="17.140625" customWidth="1"/>
    <col min="10247" max="10247" width="6.5703125" customWidth="1"/>
    <col min="10249" max="10249" width="9.28515625" customWidth="1"/>
    <col min="10250" max="10250" width="18.7109375" customWidth="1"/>
    <col min="10251" max="10251" width="7.85546875" customWidth="1"/>
    <col min="10252" max="10252" width="9.7109375" customWidth="1"/>
    <col min="10253" max="10253" width="15" customWidth="1"/>
    <col min="10254" max="10254" width="6.7109375" customWidth="1"/>
    <col min="10255" max="10255" width="8.28515625" customWidth="1"/>
    <col min="10262" max="10262" width="5.85546875" customWidth="1"/>
    <col min="10264" max="10264" width="15.85546875" customWidth="1"/>
    <col min="10497" max="10497" width="9" customWidth="1"/>
    <col min="10498" max="10498" width="7.5703125" customWidth="1"/>
    <col min="10499" max="10499" width="12.140625" customWidth="1"/>
    <col min="10500" max="10500" width="12" customWidth="1"/>
    <col min="10501" max="10501" width="19" customWidth="1"/>
    <col min="10502" max="10502" width="17.140625" customWidth="1"/>
    <col min="10503" max="10503" width="6.5703125" customWidth="1"/>
    <col min="10505" max="10505" width="9.28515625" customWidth="1"/>
    <col min="10506" max="10506" width="18.7109375" customWidth="1"/>
    <col min="10507" max="10507" width="7.85546875" customWidth="1"/>
    <col min="10508" max="10508" width="9.7109375" customWidth="1"/>
    <col min="10509" max="10509" width="15" customWidth="1"/>
    <col min="10510" max="10510" width="6.7109375" customWidth="1"/>
    <col min="10511" max="10511" width="8.28515625" customWidth="1"/>
    <col min="10518" max="10518" width="5.85546875" customWidth="1"/>
    <col min="10520" max="10520" width="15.85546875" customWidth="1"/>
    <col min="10753" max="10753" width="9" customWidth="1"/>
    <col min="10754" max="10754" width="7.5703125" customWidth="1"/>
    <col min="10755" max="10755" width="12.140625" customWidth="1"/>
    <col min="10756" max="10756" width="12" customWidth="1"/>
    <col min="10757" max="10757" width="19" customWidth="1"/>
    <col min="10758" max="10758" width="17.140625" customWidth="1"/>
    <col min="10759" max="10759" width="6.5703125" customWidth="1"/>
    <col min="10761" max="10761" width="9.28515625" customWidth="1"/>
    <col min="10762" max="10762" width="18.7109375" customWidth="1"/>
    <col min="10763" max="10763" width="7.85546875" customWidth="1"/>
    <col min="10764" max="10764" width="9.7109375" customWidth="1"/>
    <col min="10765" max="10765" width="15" customWidth="1"/>
    <col min="10766" max="10766" width="6.7109375" customWidth="1"/>
    <col min="10767" max="10767" width="8.28515625" customWidth="1"/>
    <col min="10774" max="10774" width="5.85546875" customWidth="1"/>
    <col min="10776" max="10776" width="15.85546875" customWidth="1"/>
    <col min="11009" max="11009" width="9" customWidth="1"/>
    <col min="11010" max="11010" width="7.5703125" customWidth="1"/>
    <col min="11011" max="11011" width="12.140625" customWidth="1"/>
    <col min="11012" max="11012" width="12" customWidth="1"/>
    <col min="11013" max="11013" width="19" customWidth="1"/>
    <col min="11014" max="11014" width="17.140625" customWidth="1"/>
    <col min="11015" max="11015" width="6.5703125" customWidth="1"/>
    <col min="11017" max="11017" width="9.28515625" customWidth="1"/>
    <col min="11018" max="11018" width="18.7109375" customWidth="1"/>
    <col min="11019" max="11019" width="7.85546875" customWidth="1"/>
    <col min="11020" max="11020" width="9.7109375" customWidth="1"/>
    <col min="11021" max="11021" width="15" customWidth="1"/>
    <col min="11022" max="11022" width="6.7109375" customWidth="1"/>
    <col min="11023" max="11023" width="8.28515625" customWidth="1"/>
    <col min="11030" max="11030" width="5.85546875" customWidth="1"/>
    <col min="11032" max="11032" width="15.85546875" customWidth="1"/>
    <col min="11265" max="11265" width="9" customWidth="1"/>
    <col min="11266" max="11266" width="7.5703125" customWidth="1"/>
    <col min="11267" max="11267" width="12.140625" customWidth="1"/>
    <col min="11268" max="11268" width="12" customWidth="1"/>
    <col min="11269" max="11269" width="19" customWidth="1"/>
    <col min="11270" max="11270" width="17.140625" customWidth="1"/>
    <col min="11271" max="11271" width="6.5703125" customWidth="1"/>
    <col min="11273" max="11273" width="9.28515625" customWidth="1"/>
    <col min="11274" max="11274" width="18.7109375" customWidth="1"/>
    <col min="11275" max="11275" width="7.85546875" customWidth="1"/>
    <col min="11276" max="11276" width="9.7109375" customWidth="1"/>
    <col min="11277" max="11277" width="15" customWidth="1"/>
    <col min="11278" max="11278" width="6.7109375" customWidth="1"/>
    <col min="11279" max="11279" width="8.28515625" customWidth="1"/>
    <col min="11286" max="11286" width="5.85546875" customWidth="1"/>
    <col min="11288" max="11288" width="15.85546875" customWidth="1"/>
    <col min="11521" max="11521" width="9" customWidth="1"/>
    <col min="11522" max="11522" width="7.5703125" customWidth="1"/>
    <col min="11523" max="11523" width="12.140625" customWidth="1"/>
    <col min="11524" max="11524" width="12" customWidth="1"/>
    <col min="11525" max="11525" width="19" customWidth="1"/>
    <col min="11526" max="11526" width="17.140625" customWidth="1"/>
    <col min="11527" max="11527" width="6.5703125" customWidth="1"/>
    <col min="11529" max="11529" width="9.28515625" customWidth="1"/>
    <col min="11530" max="11530" width="18.7109375" customWidth="1"/>
    <col min="11531" max="11531" width="7.85546875" customWidth="1"/>
    <col min="11532" max="11532" width="9.7109375" customWidth="1"/>
    <col min="11533" max="11533" width="15" customWidth="1"/>
    <col min="11534" max="11534" width="6.7109375" customWidth="1"/>
    <col min="11535" max="11535" width="8.28515625" customWidth="1"/>
    <col min="11542" max="11542" width="5.85546875" customWidth="1"/>
    <col min="11544" max="11544" width="15.85546875" customWidth="1"/>
    <col min="11777" max="11777" width="9" customWidth="1"/>
    <col min="11778" max="11778" width="7.5703125" customWidth="1"/>
    <col min="11779" max="11779" width="12.140625" customWidth="1"/>
    <col min="11780" max="11780" width="12" customWidth="1"/>
    <col min="11781" max="11781" width="19" customWidth="1"/>
    <col min="11782" max="11782" width="17.140625" customWidth="1"/>
    <col min="11783" max="11783" width="6.5703125" customWidth="1"/>
    <col min="11785" max="11785" width="9.28515625" customWidth="1"/>
    <col min="11786" max="11786" width="18.7109375" customWidth="1"/>
    <col min="11787" max="11787" width="7.85546875" customWidth="1"/>
    <col min="11788" max="11788" width="9.7109375" customWidth="1"/>
    <col min="11789" max="11789" width="15" customWidth="1"/>
    <col min="11790" max="11790" width="6.7109375" customWidth="1"/>
    <col min="11791" max="11791" width="8.28515625" customWidth="1"/>
    <col min="11798" max="11798" width="5.85546875" customWidth="1"/>
    <col min="11800" max="11800" width="15.85546875" customWidth="1"/>
    <col min="12033" max="12033" width="9" customWidth="1"/>
    <col min="12034" max="12034" width="7.5703125" customWidth="1"/>
    <col min="12035" max="12035" width="12.140625" customWidth="1"/>
    <col min="12036" max="12036" width="12" customWidth="1"/>
    <col min="12037" max="12037" width="19" customWidth="1"/>
    <col min="12038" max="12038" width="17.140625" customWidth="1"/>
    <col min="12039" max="12039" width="6.5703125" customWidth="1"/>
    <col min="12041" max="12041" width="9.28515625" customWidth="1"/>
    <col min="12042" max="12042" width="18.7109375" customWidth="1"/>
    <col min="12043" max="12043" width="7.85546875" customWidth="1"/>
    <col min="12044" max="12044" width="9.7109375" customWidth="1"/>
    <col min="12045" max="12045" width="15" customWidth="1"/>
    <col min="12046" max="12046" width="6.7109375" customWidth="1"/>
    <col min="12047" max="12047" width="8.28515625" customWidth="1"/>
    <col min="12054" max="12054" width="5.85546875" customWidth="1"/>
    <col min="12056" max="12056" width="15.85546875" customWidth="1"/>
    <col min="12289" max="12289" width="9" customWidth="1"/>
    <col min="12290" max="12290" width="7.5703125" customWidth="1"/>
    <col min="12291" max="12291" width="12.140625" customWidth="1"/>
    <col min="12292" max="12292" width="12" customWidth="1"/>
    <col min="12293" max="12293" width="19" customWidth="1"/>
    <col min="12294" max="12294" width="17.140625" customWidth="1"/>
    <col min="12295" max="12295" width="6.5703125" customWidth="1"/>
    <col min="12297" max="12297" width="9.28515625" customWidth="1"/>
    <col min="12298" max="12298" width="18.7109375" customWidth="1"/>
    <col min="12299" max="12299" width="7.85546875" customWidth="1"/>
    <col min="12300" max="12300" width="9.7109375" customWidth="1"/>
    <col min="12301" max="12301" width="15" customWidth="1"/>
    <col min="12302" max="12302" width="6.7109375" customWidth="1"/>
    <col min="12303" max="12303" width="8.28515625" customWidth="1"/>
    <col min="12310" max="12310" width="5.85546875" customWidth="1"/>
    <col min="12312" max="12312" width="15.85546875" customWidth="1"/>
    <col min="12545" max="12545" width="9" customWidth="1"/>
    <col min="12546" max="12546" width="7.5703125" customWidth="1"/>
    <col min="12547" max="12547" width="12.140625" customWidth="1"/>
    <col min="12548" max="12548" width="12" customWidth="1"/>
    <col min="12549" max="12549" width="19" customWidth="1"/>
    <col min="12550" max="12550" width="17.140625" customWidth="1"/>
    <col min="12551" max="12551" width="6.5703125" customWidth="1"/>
    <col min="12553" max="12553" width="9.28515625" customWidth="1"/>
    <col min="12554" max="12554" width="18.7109375" customWidth="1"/>
    <col min="12555" max="12555" width="7.85546875" customWidth="1"/>
    <col min="12556" max="12556" width="9.7109375" customWidth="1"/>
    <col min="12557" max="12557" width="15" customWidth="1"/>
    <col min="12558" max="12558" width="6.7109375" customWidth="1"/>
    <col min="12559" max="12559" width="8.28515625" customWidth="1"/>
    <col min="12566" max="12566" width="5.85546875" customWidth="1"/>
    <col min="12568" max="12568" width="15.85546875" customWidth="1"/>
    <col min="12801" max="12801" width="9" customWidth="1"/>
    <col min="12802" max="12802" width="7.5703125" customWidth="1"/>
    <col min="12803" max="12803" width="12.140625" customWidth="1"/>
    <col min="12804" max="12804" width="12" customWidth="1"/>
    <col min="12805" max="12805" width="19" customWidth="1"/>
    <col min="12806" max="12806" width="17.140625" customWidth="1"/>
    <col min="12807" max="12807" width="6.5703125" customWidth="1"/>
    <col min="12809" max="12809" width="9.28515625" customWidth="1"/>
    <col min="12810" max="12810" width="18.7109375" customWidth="1"/>
    <col min="12811" max="12811" width="7.85546875" customWidth="1"/>
    <col min="12812" max="12812" width="9.7109375" customWidth="1"/>
    <col min="12813" max="12813" width="15" customWidth="1"/>
    <col min="12814" max="12814" width="6.7109375" customWidth="1"/>
    <col min="12815" max="12815" width="8.28515625" customWidth="1"/>
    <col min="12822" max="12822" width="5.85546875" customWidth="1"/>
    <col min="12824" max="12824" width="15.85546875" customWidth="1"/>
    <col min="13057" max="13057" width="9" customWidth="1"/>
    <col min="13058" max="13058" width="7.5703125" customWidth="1"/>
    <col min="13059" max="13059" width="12.140625" customWidth="1"/>
    <col min="13060" max="13060" width="12" customWidth="1"/>
    <col min="13061" max="13061" width="19" customWidth="1"/>
    <col min="13062" max="13062" width="17.140625" customWidth="1"/>
    <col min="13063" max="13063" width="6.5703125" customWidth="1"/>
    <col min="13065" max="13065" width="9.28515625" customWidth="1"/>
    <col min="13066" max="13066" width="18.7109375" customWidth="1"/>
    <col min="13067" max="13067" width="7.85546875" customWidth="1"/>
    <col min="13068" max="13068" width="9.7109375" customWidth="1"/>
    <col min="13069" max="13069" width="15" customWidth="1"/>
    <col min="13070" max="13070" width="6.7109375" customWidth="1"/>
    <col min="13071" max="13071" width="8.28515625" customWidth="1"/>
    <col min="13078" max="13078" width="5.85546875" customWidth="1"/>
    <col min="13080" max="13080" width="15.85546875" customWidth="1"/>
    <col min="13313" max="13313" width="9" customWidth="1"/>
    <col min="13314" max="13314" width="7.5703125" customWidth="1"/>
    <col min="13315" max="13315" width="12.140625" customWidth="1"/>
    <col min="13316" max="13316" width="12" customWidth="1"/>
    <col min="13317" max="13317" width="19" customWidth="1"/>
    <col min="13318" max="13318" width="17.140625" customWidth="1"/>
    <col min="13319" max="13319" width="6.5703125" customWidth="1"/>
    <col min="13321" max="13321" width="9.28515625" customWidth="1"/>
    <col min="13322" max="13322" width="18.7109375" customWidth="1"/>
    <col min="13323" max="13323" width="7.85546875" customWidth="1"/>
    <col min="13324" max="13324" width="9.7109375" customWidth="1"/>
    <col min="13325" max="13325" width="15" customWidth="1"/>
    <col min="13326" max="13326" width="6.7109375" customWidth="1"/>
    <col min="13327" max="13327" width="8.28515625" customWidth="1"/>
    <col min="13334" max="13334" width="5.85546875" customWidth="1"/>
    <col min="13336" max="13336" width="15.85546875" customWidth="1"/>
    <col min="13569" max="13569" width="9" customWidth="1"/>
    <col min="13570" max="13570" width="7.5703125" customWidth="1"/>
    <col min="13571" max="13571" width="12.140625" customWidth="1"/>
    <col min="13572" max="13572" width="12" customWidth="1"/>
    <col min="13573" max="13573" width="19" customWidth="1"/>
    <col min="13574" max="13574" width="17.140625" customWidth="1"/>
    <col min="13575" max="13575" width="6.5703125" customWidth="1"/>
    <col min="13577" max="13577" width="9.28515625" customWidth="1"/>
    <col min="13578" max="13578" width="18.7109375" customWidth="1"/>
    <col min="13579" max="13579" width="7.85546875" customWidth="1"/>
    <col min="13580" max="13580" width="9.7109375" customWidth="1"/>
    <col min="13581" max="13581" width="15" customWidth="1"/>
    <col min="13582" max="13582" width="6.7109375" customWidth="1"/>
    <col min="13583" max="13583" width="8.28515625" customWidth="1"/>
    <col min="13590" max="13590" width="5.85546875" customWidth="1"/>
    <col min="13592" max="13592" width="15.85546875" customWidth="1"/>
    <col min="13825" max="13825" width="9" customWidth="1"/>
    <col min="13826" max="13826" width="7.5703125" customWidth="1"/>
    <col min="13827" max="13827" width="12.140625" customWidth="1"/>
    <col min="13828" max="13828" width="12" customWidth="1"/>
    <col min="13829" max="13829" width="19" customWidth="1"/>
    <col min="13830" max="13830" width="17.140625" customWidth="1"/>
    <col min="13831" max="13831" width="6.5703125" customWidth="1"/>
    <col min="13833" max="13833" width="9.28515625" customWidth="1"/>
    <col min="13834" max="13834" width="18.7109375" customWidth="1"/>
    <col min="13835" max="13835" width="7.85546875" customWidth="1"/>
    <col min="13836" max="13836" width="9.7109375" customWidth="1"/>
    <col min="13837" max="13837" width="15" customWidth="1"/>
    <col min="13838" max="13838" width="6.7109375" customWidth="1"/>
    <col min="13839" max="13839" width="8.28515625" customWidth="1"/>
    <col min="13846" max="13846" width="5.85546875" customWidth="1"/>
    <col min="13848" max="13848" width="15.85546875" customWidth="1"/>
    <col min="14081" max="14081" width="9" customWidth="1"/>
    <col min="14082" max="14082" width="7.5703125" customWidth="1"/>
    <col min="14083" max="14083" width="12.140625" customWidth="1"/>
    <col min="14084" max="14084" width="12" customWidth="1"/>
    <col min="14085" max="14085" width="19" customWidth="1"/>
    <col min="14086" max="14086" width="17.140625" customWidth="1"/>
    <col min="14087" max="14087" width="6.5703125" customWidth="1"/>
    <col min="14089" max="14089" width="9.28515625" customWidth="1"/>
    <col min="14090" max="14090" width="18.7109375" customWidth="1"/>
    <col min="14091" max="14091" width="7.85546875" customWidth="1"/>
    <col min="14092" max="14092" width="9.7109375" customWidth="1"/>
    <col min="14093" max="14093" width="15" customWidth="1"/>
    <col min="14094" max="14094" width="6.7109375" customWidth="1"/>
    <col min="14095" max="14095" width="8.28515625" customWidth="1"/>
    <col min="14102" max="14102" width="5.85546875" customWidth="1"/>
    <col min="14104" max="14104" width="15.85546875" customWidth="1"/>
    <col min="14337" max="14337" width="9" customWidth="1"/>
    <col min="14338" max="14338" width="7.5703125" customWidth="1"/>
    <col min="14339" max="14339" width="12.140625" customWidth="1"/>
    <col min="14340" max="14340" width="12" customWidth="1"/>
    <col min="14341" max="14341" width="19" customWidth="1"/>
    <col min="14342" max="14342" width="17.140625" customWidth="1"/>
    <col min="14343" max="14343" width="6.5703125" customWidth="1"/>
    <col min="14345" max="14345" width="9.28515625" customWidth="1"/>
    <col min="14346" max="14346" width="18.7109375" customWidth="1"/>
    <col min="14347" max="14347" width="7.85546875" customWidth="1"/>
    <col min="14348" max="14348" width="9.7109375" customWidth="1"/>
    <col min="14349" max="14349" width="15" customWidth="1"/>
    <col min="14350" max="14350" width="6.7109375" customWidth="1"/>
    <col min="14351" max="14351" width="8.28515625" customWidth="1"/>
    <col min="14358" max="14358" width="5.85546875" customWidth="1"/>
    <col min="14360" max="14360" width="15.85546875" customWidth="1"/>
    <col min="14593" max="14593" width="9" customWidth="1"/>
    <col min="14594" max="14594" width="7.5703125" customWidth="1"/>
    <col min="14595" max="14595" width="12.140625" customWidth="1"/>
    <col min="14596" max="14596" width="12" customWidth="1"/>
    <col min="14597" max="14597" width="19" customWidth="1"/>
    <col min="14598" max="14598" width="17.140625" customWidth="1"/>
    <col min="14599" max="14599" width="6.5703125" customWidth="1"/>
    <col min="14601" max="14601" width="9.28515625" customWidth="1"/>
    <col min="14602" max="14602" width="18.7109375" customWidth="1"/>
    <col min="14603" max="14603" width="7.85546875" customWidth="1"/>
    <col min="14604" max="14604" width="9.7109375" customWidth="1"/>
    <col min="14605" max="14605" width="15" customWidth="1"/>
    <col min="14606" max="14606" width="6.7109375" customWidth="1"/>
    <col min="14607" max="14607" width="8.28515625" customWidth="1"/>
    <col min="14614" max="14614" width="5.85546875" customWidth="1"/>
    <col min="14616" max="14616" width="15.85546875" customWidth="1"/>
    <col min="14849" max="14849" width="9" customWidth="1"/>
    <col min="14850" max="14850" width="7.5703125" customWidth="1"/>
    <col min="14851" max="14851" width="12.140625" customWidth="1"/>
    <col min="14852" max="14852" width="12" customWidth="1"/>
    <col min="14853" max="14853" width="19" customWidth="1"/>
    <col min="14854" max="14854" width="17.140625" customWidth="1"/>
    <col min="14855" max="14855" width="6.5703125" customWidth="1"/>
    <col min="14857" max="14857" width="9.28515625" customWidth="1"/>
    <col min="14858" max="14858" width="18.7109375" customWidth="1"/>
    <col min="14859" max="14859" width="7.85546875" customWidth="1"/>
    <col min="14860" max="14860" width="9.7109375" customWidth="1"/>
    <col min="14861" max="14861" width="15" customWidth="1"/>
    <col min="14862" max="14862" width="6.7109375" customWidth="1"/>
    <col min="14863" max="14863" width="8.28515625" customWidth="1"/>
    <col min="14870" max="14870" width="5.85546875" customWidth="1"/>
    <col min="14872" max="14872" width="15.85546875" customWidth="1"/>
    <col min="15105" max="15105" width="9" customWidth="1"/>
    <col min="15106" max="15106" width="7.5703125" customWidth="1"/>
    <col min="15107" max="15107" width="12.140625" customWidth="1"/>
    <col min="15108" max="15108" width="12" customWidth="1"/>
    <col min="15109" max="15109" width="19" customWidth="1"/>
    <col min="15110" max="15110" width="17.140625" customWidth="1"/>
    <col min="15111" max="15111" width="6.5703125" customWidth="1"/>
    <col min="15113" max="15113" width="9.28515625" customWidth="1"/>
    <col min="15114" max="15114" width="18.7109375" customWidth="1"/>
    <col min="15115" max="15115" width="7.85546875" customWidth="1"/>
    <col min="15116" max="15116" width="9.7109375" customWidth="1"/>
    <col min="15117" max="15117" width="15" customWidth="1"/>
    <col min="15118" max="15118" width="6.7109375" customWidth="1"/>
    <col min="15119" max="15119" width="8.28515625" customWidth="1"/>
    <col min="15126" max="15126" width="5.85546875" customWidth="1"/>
    <col min="15128" max="15128" width="15.85546875" customWidth="1"/>
    <col min="15361" max="15361" width="9" customWidth="1"/>
    <col min="15362" max="15362" width="7.5703125" customWidth="1"/>
    <col min="15363" max="15363" width="12.140625" customWidth="1"/>
    <col min="15364" max="15364" width="12" customWidth="1"/>
    <col min="15365" max="15365" width="19" customWidth="1"/>
    <col min="15366" max="15366" width="17.140625" customWidth="1"/>
    <col min="15367" max="15367" width="6.5703125" customWidth="1"/>
    <col min="15369" max="15369" width="9.28515625" customWidth="1"/>
    <col min="15370" max="15370" width="18.7109375" customWidth="1"/>
    <col min="15371" max="15371" width="7.85546875" customWidth="1"/>
    <col min="15372" max="15372" width="9.7109375" customWidth="1"/>
    <col min="15373" max="15373" width="15" customWidth="1"/>
    <col min="15374" max="15374" width="6.7109375" customWidth="1"/>
    <col min="15375" max="15375" width="8.28515625" customWidth="1"/>
    <col min="15382" max="15382" width="5.85546875" customWidth="1"/>
    <col min="15384" max="15384" width="15.85546875" customWidth="1"/>
    <col min="15617" max="15617" width="9" customWidth="1"/>
    <col min="15618" max="15618" width="7.5703125" customWidth="1"/>
    <col min="15619" max="15619" width="12.140625" customWidth="1"/>
    <col min="15620" max="15620" width="12" customWidth="1"/>
    <col min="15621" max="15621" width="19" customWidth="1"/>
    <col min="15622" max="15622" width="17.140625" customWidth="1"/>
    <col min="15623" max="15623" width="6.5703125" customWidth="1"/>
    <col min="15625" max="15625" width="9.28515625" customWidth="1"/>
    <col min="15626" max="15626" width="18.7109375" customWidth="1"/>
    <col min="15627" max="15627" width="7.85546875" customWidth="1"/>
    <col min="15628" max="15628" width="9.7109375" customWidth="1"/>
    <col min="15629" max="15629" width="15" customWidth="1"/>
    <col min="15630" max="15630" width="6.7109375" customWidth="1"/>
    <col min="15631" max="15631" width="8.28515625" customWidth="1"/>
    <col min="15638" max="15638" width="5.85546875" customWidth="1"/>
    <col min="15640" max="15640" width="15.85546875" customWidth="1"/>
    <col min="15873" max="15873" width="9" customWidth="1"/>
    <col min="15874" max="15874" width="7.5703125" customWidth="1"/>
    <col min="15875" max="15875" width="12.140625" customWidth="1"/>
    <col min="15876" max="15876" width="12" customWidth="1"/>
    <col min="15877" max="15877" width="19" customWidth="1"/>
    <col min="15878" max="15878" width="17.140625" customWidth="1"/>
    <col min="15879" max="15879" width="6.5703125" customWidth="1"/>
    <col min="15881" max="15881" width="9.28515625" customWidth="1"/>
    <col min="15882" max="15882" width="18.7109375" customWidth="1"/>
    <col min="15883" max="15883" width="7.85546875" customWidth="1"/>
    <col min="15884" max="15884" width="9.7109375" customWidth="1"/>
    <col min="15885" max="15885" width="15" customWidth="1"/>
    <col min="15886" max="15886" width="6.7109375" customWidth="1"/>
    <col min="15887" max="15887" width="8.28515625" customWidth="1"/>
    <col min="15894" max="15894" width="5.85546875" customWidth="1"/>
    <col min="15896" max="15896" width="15.85546875" customWidth="1"/>
    <col min="16129" max="16129" width="9" customWidth="1"/>
    <col min="16130" max="16130" width="7.5703125" customWidth="1"/>
    <col min="16131" max="16131" width="12.140625" customWidth="1"/>
    <col min="16132" max="16132" width="12" customWidth="1"/>
    <col min="16133" max="16133" width="19" customWidth="1"/>
    <col min="16134" max="16134" width="17.140625" customWidth="1"/>
    <col min="16135" max="16135" width="6.5703125" customWidth="1"/>
    <col min="16137" max="16137" width="9.28515625" customWidth="1"/>
    <col min="16138" max="16138" width="18.7109375" customWidth="1"/>
    <col min="16139" max="16139" width="7.85546875" customWidth="1"/>
    <col min="16140" max="16140" width="9.7109375" customWidth="1"/>
    <col min="16141" max="16141" width="15" customWidth="1"/>
    <col min="16142" max="16142" width="6.7109375" customWidth="1"/>
    <col min="16143" max="16143" width="8.28515625" customWidth="1"/>
    <col min="16150" max="16150" width="5.85546875" customWidth="1"/>
    <col min="16152" max="16152" width="15.85546875" customWidth="1"/>
  </cols>
  <sheetData>
    <row r="1" spans="1:24" ht="15.75" thickBot="1"/>
    <row r="2" spans="1:24" ht="59.25" customHeight="1" thickBot="1">
      <c r="A2" s="908" t="s">
        <v>1074</v>
      </c>
      <c r="B2" s="909"/>
      <c r="C2" s="909"/>
      <c r="D2" s="909"/>
      <c r="E2" s="909"/>
      <c r="F2" s="909"/>
      <c r="G2" s="910"/>
      <c r="I2" s="911" t="s">
        <v>1075</v>
      </c>
      <c r="J2" s="906"/>
      <c r="L2" s="911" t="s">
        <v>1076</v>
      </c>
      <c r="M2" s="906"/>
      <c r="O2" s="912" t="s">
        <v>1077</v>
      </c>
      <c r="P2" s="913"/>
      <c r="Q2" s="913"/>
      <c r="R2" s="913"/>
      <c r="S2" s="913"/>
      <c r="T2" s="913"/>
      <c r="U2" s="914"/>
      <c r="W2" s="905" t="s">
        <v>1078</v>
      </c>
      <c r="X2" s="906"/>
    </row>
    <row r="3" spans="1:24" ht="73.5">
      <c r="A3" s="335"/>
      <c r="B3" s="336" t="s">
        <v>1079</v>
      </c>
      <c r="C3" s="907" t="s">
        <v>1080</v>
      </c>
      <c r="D3" s="907"/>
      <c r="E3" s="337" t="s">
        <v>1081</v>
      </c>
      <c r="F3" s="338" t="s">
        <v>1082</v>
      </c>
      <c r="G3" s="339" t="s">
        <v>1079</v>
      </c>
      <c r="H3" s="340"/>
      <c r="I3" s="11"/>
      <c r="J3" s="160"/>
      <c r="L3" s="11"/>
      <c r="M3" s="160"/>
      <c r="O3" s="335"/>
      <c r="P3" s="336" t="s">
        <v>1079</v>
      </c>
      <c r="Q3" s="907" t="s">
        <v>1080</v>
      </c>
      <c r="R3" s="907"/>
      <c r="S3" s="337" t="s">
        <v>1081</v>
      </c>
      <c r="T3" s="338" t="s">
        <v>1082</v>
      </c>
      <c r="U3" s="339" t="s">
        <v>1079</v>
      </c>
      <c r="W3" s="11"/>
      <c r="X3" s="341" t="s">
        <v>225</v>
      </c>
    </row>
    <row r="4" spans="1:24" ht="79.5">
      <c r="A4" s="342"/>
      <c r="B4" s="343"/>
      <c r="C4" s="344" t="s">
        <v>1083</v>
      </c>
      <c r="D4" s="345" t="s">
        <v>1084</v>
      </c>
      <c r="E4" s="346"/>
      <c r="F4" s="347" t="s">
        <v>617</v>
      </c>
      <c r="G4" s="348"/>
      <c r="I4" s="11"/>
      <c r="J4" s="160"/>
      <c r="L4" s="11"/>
      <c r="M4" s="160"/>
      <c r="O4" s="342"/>
      <c r="P4" s="343"/>
      <c r="Q4" s="344" t="s">
        <v>1085</v>
      </c>
      <c r="R4" s="345" t="s">
        <v>1084</v>
      </c>
      <c r="S4" s="346"/>
      <c r="T4" s="347" t="s">
        <v>617</v>
      </c>
      <c r="U4" s="348"/>
      <c r="W4" s="11"/>
      <c r="X4" s="160"/>
    </row>
    <row r="5" spans="1:24">
      <c r="A5" s="349" t="s">
        <v>1086</v>
      </c>
      <c r="B5" s="350" t="s">
        <v>47</v>
      </c>
      <c r="C5" s="606">
        <v>2.2999999999999998</v>
      </c>
      <c r="D5" s="607">
        <v>4.3905888000000006</v>
      </c>
      <c r="E5" s="608">
        <v>3.14</v>
      </c>
      <c r="F5" s="609">
        <v>24.522028800000001</v>
      </c>
      <c r="G5" s="351" t="s">
        <v>47</v>
      </c>
      <c r="H5" s="352"/>
      <c r="I5" s="350" t="s">
        <v>47</v>
      </c>
      <c r="J5" s="353">
        <v>33.490248100000002</v>
      </c>
      <c r="L5" s="350" t="s">
        <v>47</v>
      </c>
      <c r="M5" s="353">
        <v>32.098074099999998</v>
      </c>
      <c r="O5" s="349" t="s">
        <v>1086</v>
      </c>
      <c r="P5" s="350" t="s">
        <v>47</v>
      </c>
      <c r="Q5" s="606">
        <v>3.2</v>
      </c>
      <c r="R5" s="607">
        <v>13.232430000000001</v>
      </c>
      <c r="S5" s="608">
        <v>3.14</v>
      </c>
      <c r="T5" s="609">
        <v>66.111429999999999</v>
      </c>
      <c r="U5" s="351" t="s">
        <v>47</v>
      </c>
      <c r="W5" s="350" t="s">
        <v>47</v>
      </c>
      <c r="X5" s="353">
        <v>38.53898247076463</v>
      </c>
    </row>
    <row r="6" spans="1:24">
      <c r="A6" s="354"/>
      <c r="B6" s="350" t="s">
        <v>49</v>
      </c>
      <c r="C6" s="606">
        <v>2.2999999999999998</v>
      </c>
      <c r="D6" s="607">
        <v>5.0271408000000006</v>
      </c>
      <c r="E6" s="608">
        <v>3.97</v>
      </c>
      <c r="F6" s="609">
        <v>28.526180800000002</v>
      </c>
      <c r="G6" s="351" t="s">
        <v>49</v>
      </c>
      <c r="H6" s="352"/>
      <c r="I6" s="350" t="s">
        <v>49</v>
      </c>
      <c r="J6" s="353">
        <v>38.017335299999999</v>
      </c>
      <c r="L6" s="350" t="s">
        <v>49</v>
      </c>
      <c r="M6" s="353">
        <v>36.549723299999997</v>
      </c>
      <c r="O6" s="354"/>
      <c r="P6" s="350" t="s">
        <v>49</v>
      </c>
      <c r="Q6" s="606">
        <v>3.2</v>
      </c>
      <c r="R6" s="607">
        <v>14.393160000000004</v>
      </c>
      <c r="S6" s="608">
        <v>3.97</v>
      </c>
      <c r="T6" s="609">
        <v>72.581160000000011</v>
      </c>
      <c r="U6" s="351" t="s">
        <v>49</v>
      </c>
      <c r="W6" s="350" t="s">
        <v>49</v>
      </c>
      <c r="X6" s="353">
        <v>42.913462353415454</v>
      </c>
    </row>
    <row r="7" spans="1:24">
      <c r="A7" s="354"/>
      <c r="B7" s="350" t="s">
        <v>51</v>
      </c>
      <c r="C7" s="606">
        <v>2.9</v>
      </c>
      <c r="D7" s="607">
        <v>5.9217615000000015</v>
      </c>
      <c r="E7" s="608">
        <v>4.97</v>
      </c>
      <c r="F7" s="609">
        <v>33.964211500000005</v>
      </c>
      <c r="G7" s="351" t="s">
        <v>51</v>
      </c>
      <c r="H7" s="352"/>
      <c r="I7" s="350" t="s">
        <v>51</v>
      </c>
      <c r="J7" s="353">
        <v>52.584380000000003</v>
      </c>
      <c r="L7" s="350" t="s">
        <v>51</v>
      </c>
      <c r="M7" s="353">
        <v>48.469580000000001</v>
      </c>
      <c r="O7" s="354"/>
      <c r="P7" s="350" t="s">
        <v>51</v>
      </c>
      <c r="Q7" s="606">
        <v>3.2</v>
      </c>
      <c r="R7" s="607">
        <v>15.225300000000001</v>
      </c>
      <c r="S7" s="608">
        <v>4.97</v>
      </c>
      <c r="T7" s="609">
        <v>77.725300000000004</v>
      </c>
      <c r="U7" s="351" t="s">
        <v>51</v>
      </c>
      <c r="W7" s="350" t="s">
        <v>51</v>
      </c>
      <c r="X7" s="353">
        <v>47.954620400000003</v>
      </c>
    </row>
    <row r="8" spans="1:24">
      <c r="A8" s="354"/>
      <c r="B8" s="350" t="s">
        <v>53</v>
      </c>
      <c r="C8" s="606">
        <v>2.9</v>
      </c>
      <c r="D8" s="607">
        <v>7.5432465000000004</v>
      </c>
      <c r="E8" s="608">
        <v>6.26</v>
      </c>
      <c r="F8" s="609">
        <v>43.201196500000002</v>
      </c>
      <c r="G8" s="351" t="s">
        <v>53</v>
      </c>
      <c r="H8" s="352"/>
      <c r="I8" s="350" t="s">
        <v>53</v>
      </c>
      <c r="J8" s="353">
        <v>60.652596699999997</v>
      </c>
      <c r="L8" s="350" t="s">
        <v>53</v>
      </c>
      <c r="M8" s="353">
        <v>55.928196700000001</v>
      </c>
      <c r="O8" s="354"/>
      <c r="P8" s="350" t="s">
        <v>53</v>
      </c>
      <c r="Q8" s="606">
        <v>3.6</v>
      </c>
      <c r="R8" s="607">
        <v>17.834850000000003</v>
      </c>
      <c r="S8" s="608">
        <v>6.26</v>
      </c>
      <c r="T8" s="609">
        <v>91.609850000000009</v>
      </c>
      <c r="U8" s="351" t="s">
        <v>53</v>
      </c>
      <c r="W8" s="350" t="s">
        <v>53</v>
      </c>
      <c r="X8" s="353">
        <v>60.571806920000014</v>
      </c>
    </row>
    <row r="9" spans="1:24">
      <c r="A9" s="354"/>
      <c r="B9" s="350" t="s">
        <v>55</v>
      </c>
      <c r="C9" s="606">
        <v>2.9</v>
      </c>
      <c r="D9" s="607">
        <v>7.5231000000000012</v>
      </c>
      <c r="E9" s="608">
        <v>7.13</v>
      </c>
      <c r="F9" s="609">
        <v>45.258100000000006</v>
      </c>
      <c r="G9" s="351" t="s">
        <v>55</v>
      </c>
      <c r="H9" s="352"/>
      <c r="I9" s="350" t="s">
        <v>55</v>
      </c>
      <c r="J9" s="353">
        <v>70.377459999999999</v>
      </c>
      <c r="L9" s="350" t="s">
        <v>55</v>
      </c>
      <c r="M9" s="353">
        <v>64.027059999999992</v>
      </c>
      <c r="O9" s="354"/>
      <c r="P9" s="350" t="s">
        <v>55</v>
      </c>
      <c r="Q9" s="606">
        <v>3.6</v>
      </c>
      <c r="R9" s="607">
        <v>18.472999999999999</v>
      </c>
      <c r="S9" s="608">
        <v>7.13</v>
      </c>
      <c r="T9" s="609">
        <v>98.322999999999993</v>
      </c>
      <c r="U9" s="351" t="s">
        <v>55</v>
      </c>
      <c r="W9" s="350" t="s">
        <v>55</v>
      </c>
      <c r="X9" s="353">
        <v>70.876043260000017</v>
      </c>
    </row>
    <row r="10" spans="1:24">
      <c r="A10" s="354"/>
      <c r="B10" s="350" t="s">
        <v>57</v>
      </c>
      <c r="C10" s="606">
        <v>3.2</v>
      </c>
      <c r="D10" s="607">
        <v>9.8017400000000006</v>
      </c>
      <c r="E10" s="608">
        <v>8.9</v>
      </c>
      <c r="F10" s="609">
        <v>58.340739999999997</v>
      </c>
      <c r="G10" s="351" t="s">
        <v>57</v>
      </c>
      <c r="H10" s="352"/>
      <c r="I10" s="350" t="s">
        <v>57</v>
      </c>
      <c r="J10" s="353">
        <v>91.679080000000027</v>
      </c>
      <c r="L10" s="350" t="s">
        <v>57</v>
      </c>
      <c r="M10" s="353">
        <v>84.421480000000017</v>
      </c>
      <c r="O10" s="354"/>
      <c r="P10" s="350" t="s">
        <v>57</v>
      </c>
      <c r="Q10" s="606">
        <v>3.6</v>
      </c>
      <c r="R10" s="607">
        <v>20.488</v>
      </c>
      <c r="S10" s="608">
        <v>8.9</v>
      </c>
      <c r="T10" s="609">
        <v>110.128</v>
      </c>
      <c r="U10" s="351" t="s">
        <v>57</v>
      </c>
      <c r="W10" s="350" t="s">
        <v>57</v>
      </c>
      <c r="X10" s="353">
        <v>91.027986340000012</v>
      </c>
    </row>
    <row r="11" spans="1:24">
      <c r="A11" s="354"/>
      <c r="B11" s="350" t="s">
        <v>59</v>
      </c>
      <c r="C11" s="606">
        <v>3.2</v>
      </c>
      <c r="D11" s="607">
        <v>11.99704</v>
      </c>
      <c r="E11" s="608">
        <v>11.23</v>
      </c>
      <c r="F11" s="609">
        <v>73.685199999999995</v>
      </c>
      <c r="G11" s="351" t="s">
        <v>59</v>
      </c>
      <c r="H11" s="352"/>
      <c r="I11" s="350" t="s">
        <v>59</v>
      </c>
      <c r="J11" s="353">
        <v>108.03125000000001</v>
      </c>
      <c r="L11" s="350" t="s">
        <v>59</v>
      </c>
      <c r="M11" s="353">
        <v>100.94375000000002</v>
      </c>
      <c r="O11" s="354"/>
      <c r="P11" s="350" t="s">
        <v>59</v>
      </c>
      <c r="Q11" s="606">
        <v>3.6</v>
      </c>
      <c r="R11" s="607">
        <v>23.768250000000002</v>
      </c>
      <c r="S11" s="608">
        <v>11.23</v>
      </c>
      <c r="T11" s="609">
        <v>132.54124999999999</v>
      </c>
      <c r="U11" s="351" t="s">
        <v>59</v>
      </c>
      <c r="W11" s="350" t="s">
        <v>59</v>
      </c>
      <c r="X11" s="353">
        <v>134.05108250000001</v>
      </c>
    </row>
    <row r="12" spans="1:24">
      <c r="A12" s="354"/>
      <c r="B12" s="350" t="s">
        <v>60</v>
      </c>
      <c r="C12" s="606">
        <v>3.2</v>
      </c>
      <c r="D12" s="607">
        <v>14.287348799999998</v>
      </c>
      <c r="E12" s="608">
        <v>13.12</v>
      </c>
      <c r="F12" s="609">
        <v>89.827968800000008</v>
      </c>
      <c r="G12" s="351" t="s">
        <v>60</v>
      </c>
      <c r="H12" s="352"/>
      <c r="I12" s="350" t="s">
        <v>60</v>
      </c>
      <c r="J12" s="353">
        <v>117.74057959999999</v>
      </c>
      <c r="L12" s="350" t="s">
        <v>60</v>
      </c>
      <c r="M12" s="353">
        <v>107.6221796</v>
      </c>
      <c r="O12" s="354"/>
      <c r="P12" s="350" t="s">
        <v>60</v>
      </c>
      <c r="Q12" s="606">
        <v>3.6</v>
      </c>
      <c r="R12" s="607">
        <v>25.907039999999999</v>
      </c>
      <c r="S12" s="608">
        <v>13.12</v>
      </c>
      <c r="T12" s="609">
        <v>149.86303999999998</v>
      </c>
      <c r="U12" s="351" t="s">
        <v>60</v>
      </c>
      <c r="W12" s="350" t="s">
        <v>60</v>
      </c>
      <c r="X12" s="353">
        <v>160.14110425999999</v>
      </c>
    </row>
    <row r="13" spans="1:24">
      <c r="A13" s="354"/>
      <c r="B13" s="350" t="s">
        <v>62</v>
      </c>
      <c r="C13" s="606">
        <v>3.6</v>
      </c>
      <c r="D13" s="607">
        <v>20.116296000000002</v>
      </c>
      <c r="E13" s="608">
        <v>16.87</v>
      </c>
      <c r="F13" s="610">
        <v>124.50419600000002</v>
      </c>
      <c r="G13" s="351" t="s">
        <v>62</v>
      </c>
      <c r="H13" s="352"/>
      <c r="I13" s="350" t="s">
        <v>62</v>
      </c>
      <c r="J13" s="353">
        <v>207.06475999999998</v>
      </c>
      <c r="L13" s="350" t="s">
        <v>62</v>
      </c>
      <c r="M13" s="353">
        <v>174.70076</v>
      </c>
      <c r="O13" s="354"/>
      <c r="P13" s="350" t="s">
        <v>62</v>
      </c>
      <c r="Q13" s="606">
        <v>4</v>
      </c>
      <c r="R13" s="607">
        <v>32.978880000000004</v>
      </c>
      <c r="S13" s="608">
        <v>16.87</v>
      </c>
      <c r="T13" s="609">
        <v>190.96088</v>
      </c>
      <c r="U13" s="351" t="s">
        <v>62</v>
      </c>
      <c r="W13" s="350" t="s">
        <v>62</v>
      </c>
      <c r="X13" s="353">
        <v>240.0211456085016</v>
      </c>
    </row>
    <row r="14" spans="1:24">
      <c r="A14" s="354"/>
      <c r="B14" s="350" t="s">
        <v>63</v>
      </c>
      <c r="C14" s="606">
        <v>4.5</v>
      </c>
      <c r="D14" s="607">
        <v>31.977192000000002</v>
      </c>
      <c r="E14" s="608">
        <v>20.62</v>
      </c>
      <c r="F14" s="609">
        <v>190.16549200000003</v>
      </c>
      <c r="G14" s="351" t="s">
        <v>63</v>
      </c>
      <c r="H14" s="352"/>
      <c r="I14" s="350" t="s">
        <v>63</v>
      </c>
      <c r="J14" s="353">
        <v>338.36743999999999</v>
      </c>
      <c r="L14" s="350" t="s">
        <v>63</v>
      </c>
      <c r="M14" s="353">
        <v>306.06344359999997</v>
      </c>
      <c r="O14" s="354"/>
      <c r="P14" s="350" t="s">
        <v>63</v>
      </c>
      <c r="Q14" s="606">
        <v>4.5</v>
      </c>
      <c r="R14" s="607">
        <v>52.32864</v>
      </c>
      <c r="S14" s="608">
        <v>20.62</v>
      </c>
      <c r="T14" s="609">
        <v>295.31464</v>
      </c>
      <c r="U14" s="351" t="s">
        <v>63</v>
      </c>
      <c r="W14" s="350" t="s">
        <v>63</v>
      </c>
      <c r="X14" s="353">
        <v>235.79371000000003</v>
      </c>
    </row>
    <row r="15" spans="1:24">
      <c r="A15" s="354"/>
      <c r="B15" s="350" t="s">
        <v>66</v>
      </c>
      <c r="C15" s="606">
        <v>5</v>
      </c>
      <c r="D15" s="607">
        <v>39.080592000000003</v>
      </c>
      <c r="E15" s="608">
        <v>24.84</v>
      </c>
      <c r="F15" s="609">
        <v>231.266392</v>
      </c>
      <c r="G15" s="351" t="s">
        <v>66</v>
      </c>
      <c r="H15" s="352"/>
      <c r="I15" s="350" t="s">
        <v>66</v>
      </c>
      <c r="J15" s="353">
        <v>389.17071999999996</v>
      </c>
      <c r="L15" s="350" t="s">
        <v>66</v>
      </c>
      <c r="M15" s="353">
        <v>346.31089067944248</v>
      </c>
      <c r="O15" s="354"/>
      <c r="P15" s="350" t="s">
        <v>66</v>
      </c>
      <c r="Q15" s="606">
        <v>5</v>
      </c>
      <c r="R15" s="607">
        <v>68.203440000000001</v>
      </c>
      <c r="S15" s="608">
        <v>24.84</v>
      </c>
      <c r="T15" s="609">
        <v>381.73444000000001</v>
      </c>
      <c r="U15" s="351" t="s">
        <v>66</v>
      </c>
      <c r="W15" s="350" t="s">
        <v>66</v>
      </c>
      <c r="X15" s="353">
        <v>290.20017508710799</v>
      </c>
    </row>
    <row r="16" spans="1:24">
      <c r="A16" s="354"/>
      <c r="B16" s="350" t="s">
        <v>121</v>
      </c>
      <c r="C16" s="606">
        <v>6.3</v>
      </c>
      <c r="D16" s="607">
        <v>63.26018400000001</v>
      </c>
      <c r="E16" s="608">
        <v>32.33</v>
      </c>
      <c r="F16" s="609">
        <v>365.40428400000002</v>
      </c>
      <c r="G16" s="351" t="s">
        <v>121</v>
      </c>
      <c r="H16" s="352"/>
      <c r="I16" s="350" t="s">
        <v>121</v>
      </c>
      <c r="J16" s="353">
        <v>680.54672533650694</v>
      </c>
      <c r="L16" s="350" t="s">
        <v>121</v>
      </c>
      <c r="M16" s="353">
        <v>512.14404266825352</v>
      </c>
      <c r="O16" s="354"/>
      <c r="P16" s="350" t="s">
        <v>121</v>
      </c>
      <c r="Q16" s="606"/>
      <c r="R16" s="607"/>
      <c r="S16" s="608"/>
      <c r="T16" s="609"/>
      <c r="U16" s="351" t="s">
        <v>121</v>
      </c>
      <c r="W16" s="350" t="s">
        <v>121</v>
      </c>
      <c r="X16" s="353">
        <v>508.40691760785484</v>
      </c>
    </row>
    <row r="17" spans="1:24">
      <c r="A17" s="354"/>
      <c r="B17" s="350" t="s">
        <v>122</v>
      </c>
      <c r="C17" s="606">
        <v>7.1</v>
      </c>
      <c r="D17" s="607">
        <v>81.865888000000012</v>
      </c>
      <c r="E17" s="608">
        <v>40.29</v>
      </c>
      <c r="F17" s="609">
        <v>470.36375466666681</v>
      </c>
      <c r="G17" s="351" t="s">
        <v>122</v>
      </c>
      <c r="H17" s="352"/>
      <c r="I17" s="350" t="s">
        <v>122</v>
      </c>
      <c r="J17" s="353">
        <v>732.76635466666676</v>
      </c>
      <c r="L17" s="350" t="s">
        <v>122</v>
      </c>
      <c r="M17" s="353">
        <v>715.99040500000001</v>
      </c>
      <c r="O17" s="354"/>
      <c r="P17" s="350" t="s">
        <v>122</v>
      </c>
      <c r="Q17" s="606"/>
      <c r="R17" s="607"/>
      <c r="S17" s="608"/>
      <c r="T17" s="609"/>
      <c r="U17" s="351" t="s">
        <v>122</v>
      </c>
      <c r="W17" s="350" t="s">
        <v>122</v>
      </c>
      <c r="X17" s="353">
        <v>714.70157999999992</v>
      </c>
    </row>
    <row r="18" spans="1:24">
      <c r="A18" s="354"/>
      <c r="B18" s="350" t="s">
        <v>156</v>
      </c>
      <c r="C18" s="606">
        <v>8</v>
      </c>
      <c r="D18" s="607">
        <v>110.68343999999999</v>
      </c>
      <c r="E18" s="608">
        <v>47.8</v>
      </c>
      <c r="F18" s="609">
        <v>628.18443999999988</v>
      </c>
      <c r="G18" s="351" t="s">
        <v>156</v>
      </c>
      <c r="H18" s="352"/>
      <c r="I18" s="350" t="s">
        <v>156</v>
      </c>
      <c r="J18" s="353">
        <v>1045.1563466666669</v>
      </c>
      <c r="L18" s="350" t="s">
        <v>156</v>
      </c>
      <c r="M18" s="353">
        <v>902.67603250000002</v>
      </c>
      <c r="O18" s="354"/>
      <c r="P18" s="350" t="s">
        <v>156</v>
      </c>
      <c r="Q18" s="606"/>
      <c r="R18" s="607"/>
      <c r="S18" s="608"/>
      <c r="T18" s="609"/>
      <c r="U18" s="351" t="s">
        <v>156</v>
      </c>
      <c r="W18" s="350" t="s">
        <v>156</v>
      </c>
      <c r="X18" s="353">
        <v>795.57234999999991</v>
      </c>
    </row>
    <row r="19" spans="1:24">
      <c r="A19" s="354"/>
      <c r="B19" s="350" t="s">
        <v>158</v>
      </c>
      <c r="C19" s="606">
        <v>8</v>
      </c>
      <c r="D19" s="607">
        <v>156.32620799999995</v>
      </c>
      <c r="E19" s="608">
        <v>52</v>
      </c>
      <c r="F19" s="609">
        <v>869.18540799999982</v>
      </c>
      <c r="G19" s="351" t="s">
        <v>158</v>
      </c>
      <c r="H19" s="352"/>
      <c r="I19" s="350" t="s">
        <v>158</v>
      </c>
      <c r="J19" s="353">
        <v>1545.1635381333335</v>
      </c>
      <c r="L19" s="350" t="s">
        <v>158</v>
      </c>
      <c r="M19" s="353">
        <v>1118.878256</v>
      </c>
      <c r="O19" s="354"/>
      <c r="P19" s="350" t="s">
        <v>158</v>
      </c>
      <c r="Q19" s="606"/>
      <c r="R19" s="607"/>
      <c r="S19" s="608"/>
      <c r="T19" s="609"/>
      <c r="U19" s="351" t="s">
        <v>158</v>
      </c>
      <c r="W19" s="350" t="s">
        <v>158</v>
      </c>
      <c r="X19" s="353">
        <v>913.99070000000006</v>
      </c>
    </row>
    <row r="20" spans="1:24">
      <c r="A20" s="354"/>
      <c r="B20" s="350" t="s">
        <v>176</v>
      </c>
      <c r="C20" s="606">
        <v>8.8000000000000007</v>
      </c>
      <c r="D20" s="607">
        <v>208.38</v>
      </c>
      <c r="E20" s="608">
        <v>59.98</v>
      </c>
      <c r="F20" s="609">
        <v>1146.6100000000001</v>
      </c>
      <c r="G20" s="351" t="s">
        <v>176</v>
      </c>
      <c r="H20" s="352"/>
      <c r="I20" s="350" t="s">
        <v>176</v>
      </c>
      <c r="J20" s="353">
        <v>1688.8235599999998</v>
      </c>
      <c r="L20" s="350" t="s">
        <v>176</v>
      </c>
      <c r="M20" s="353">
        <v>1182.3381199999999</v>
      </c>
      <c r="O20" s="354"/>
      <c r="P20" s="350" t="s">
        <v>176</v>
      </c>
      <c r="Q20" s="606"/>
      <c r="R20" s="607"/>
      <c r="S20" s="608"/>
      <c r="T20" s="609"/>
      <c r="U20" s="351" t="s">
        <v>176</v>
      </c>
      <c r="W20" s="350" t="s">
        <v>176</v>
      </c>
      <c r="X20" s="353"/>
    </row>
    <row r="21" spans="1:24">
      <c r="A21" s="354"/>
      <c r="B21" s="350" t="s">
        <v>178</v>
      </c>
      <c r="C21" s="606">
        <v>11</v>
      </c>
      <c r="D21" s="607">
        <v>386.57063999999997</v>
      </c>
      <c r="E21" s="608">
        <v>74.97</v>
      </c>
      <c r="F21" s="609">
        <v>2082.25164</v>
      </c>
      <c r="G21" s="351" t="s">
        <v>178</v>
      </c>
      <c r="I21" s="350" t="s">
        <v>178</v>
      </c>
      <c r="J21" s="353">
        <v>3159.7231039999997</v>
      </c>
      <c r="L21" s="350" t="s">
        <v>178</v>
      </c>
      <c r="M21" s="353">
        <v>2284.7463680000001</v>
      </c>
      <c r="O21" s="354"/>
      <c r="P21" s="350" t="s">
        <v>178</v>
      </c>
      <c r="Q21" s="606"/>
      <c r="R21" s="607"/>
      <c r="S21" s="608"/>
      <c r="T21" s="609"/>
      <c r="U21" s="351" t="s">
        <v>178</v>
      </c>
      <c r="W21" s="350" t="s">
        <v>178</v>
      </c>
      <c r="X21" s="353"/>
    </row>
    <row r="22" spans="1:24" ht="15.75" thickBot="1">
      <c r="A22" s="355"/>
      <c r="B22" s="356" t="s">
        <v>190</v>
      </c>
      <c r="C22" s="611">
        <v>12.5</v>
      </c>
      <c r="D22" s="612">
        <v>635.62560000000008</v>
      </c>
      <c r="E22" s="613">
        <v>90</v>
      </c>
      <c r="F22" s="614">
        <v>3384.0656000000008</v>
      </c>
      <c r="G22" s="357" t="s">
        <v>190</v>
      </c>
      <c r="I22" s="350" t="s">
        <v>190</v>
      </c>
      <c r="J22" s="358"/>
      <c r="L22" s="350" t="s">
        <v>190</v>
      </c>
      <c r="M22" s="358"/>
      <c r="O22" s="355"/>
      <c r="P22" s="356" t="s">
        <v>190</v>
      </c>
      <c r="Q22" s="611"/>
      <c r="R22" s="612"/>
      <c r="S22" s="613"/>
      <c r="T22" s="614"/>
      <c r="U22" s="357" t="s">
        <v>190</v>
      </c>
      <c r="W22" s="350" t="s">
        <v>190</v>
      </c>
      <c r="X22" s="358"/>
    </row>
    <row r="23" spans="1:24">
      <c r="A23" s="359"/>
      <c r="B23" s="359"/>
      <c r="C23" s="359"/>
      <c r="D23" s="359"/>
      <c r="E23" s="359"/>
      <c r="F23" s="359"/>
      <c r="G23" s="228"/>
    </row>
    <row r="24" spans="1:24">
      <c r="A24" s="360" t="s">
        <v>1087</v>
      </c>
      <c r="B24" s="361">
        <v>2023</v>
      </c>
      <c r="C24" s="359"/>
      <c r="D24" s="359"/>
      <c r="E24" s="359"/>
      <c r="F24" s="359"/>
    </row>
    <row r="25" spans="1:24" ht="15.75" thickBot="1">
      <c r="A25" s="359"/>
      <c r="B25" s="359"/>
      <c r="C25" s="359"/>
      <c r="D25" s="359"/>
      <c r="E25" s="359"/>
      <c r="F25" s="359"/>
    </row>
    <row r="26" spans="1:24" ht="18.75" thickBot="1">
      <c r="A26" s="908" t="s">
        <v>1088</v>
      </c>
      <c r="B26" s="909"/>
      <c r="C26" s="909"/>
      <c r="D26" s="909"/>
      <c r="E26" s="909"/>
      <c r="F26" s="909"/>
      <c r="G26" s="910"/>
    </row>
    <row r="27" spans="1:24" ht="33">
      <c r="A27" s="335"/>
      <c r="B27" s="336"/>
      <c r="C27" s="907" t="s">
        <v>1080</v>
      </c>
      <c r="D27" s="907"/>
      <c r="E27" s="337" t="s">
        <v>1081</v>
      </c>
      <c r="F27" s="338" t="s">
        <v>1082</v>
      </c>
      <c r="G27" s="339" t="s">
        <v>1079</v>
      </c>
    </row>
    <row r="28" spans="1:24">
      <c r="A28" s="354"/>
      <c r="B28" s="362"/>
      <c r="C28" s="350" t="s">
        <v>1089</v>
      </c>
      <c r="D28" s="350" t="s">
        <v>1084</v>
      </c>
      <c r="E28" s="346"/>
      <c r="F28" s="347" t="s">
        <v>617</v>
      </c>
      <c r="G28" s="348"/>
    </row>
    <row r="29" spans="1:24">
      <c r="A29" s="349" t="s">
        <v>1090</v>
      </c>
      <c r="B29" s="350" t="s">
        <v>47</v>
      </c>
      <c r="C29" s="606">
        <v>2.2999999999999998</v>
      </c>
      <c r="D29" s="615">
        <v>18.7488235</v>
      </c>
      <c r="E29" s="608">
        <v>3.14</v>
      </c>
      <c r="F29" s="609">
        <v>21.888823500000001</v>
      </c>
      <c r="G29" s="351" t="s">
        <v>47</v>
      </c>
      <c r="H29" s="228"/>
    </row>
    <row r="30" spans="1:24">
      <c r="A30" s="354"/>
      <c r="B30" s="350" t="s">
        <v>49</v>
      </c>
      <c r="C30" s="606">
        <v>2.2999999999999998</v>
      </c>
      <c r="D30" s="615">
        <v>21.275465999999998</v>
      </c>
      <c r="E30" s="608">
        <v>3.97</v>
      </c>
      <c r="F30" s="609">
        <v>25.245465999999997</v>
      </c>
      <c r="G30" s="351" t="s">
        <v>49</v>
      </c>
      <c r="H30" s="228"/>
    </row>
    <row r="31" spans="1:24">
      <c r="A31" s="354"/>
      <c r="B31" s="350" t="s">
        <v>51</v>
      </c>
      <c r="C31" s="606">
        <v>2.9</v>
      </c>
      <c r="D31" s="615">
        <v>25.756664000000004</v>
      </c>
      <c r="E31" s="608">
        <v>4.97</v>
      </c>
      <c r="F31" s="609">
        <v>30.726664000000003</v>
      </c>
      <c r="G31" s="351" t="s">
        <v>51</v>
      </c>
      <c r="H31" s="228"/>
    </row>
    <row r="32" spans="1:24">
      <c r="A32" s="354"/>
      <c r="B32" s="350" t="s">
        <v>53</v>
      </c>
      <c r="C32" s="606">
        <v>2.9</v>
      </c>
      <c r="D32" s="615">
        <v>30.969720000000006</v>
      </c>
      <c r="E32" s="608">
        <v>6.26</v>
      </c>
      <c r="F32" s="609">
        <v>37.229720000000007</v>
      </c>
      <c r="G32" s="351" t="s">
        <v>53</v>
      </c>
      <c r="H32" s="228"/>
    </row>
    <row r="33" spans="1:8">
      <c r="A33" s="354"/>
      <c r="B33" s="350" t="s">
        <v>55</v>
      </c>
      <c r="C33" s="606">
        <v>2.9</v>
      </c>
      <c r="D33" s="615">
        <v>33.692900000000002</v>
      </c>
      <c r="E33" s="608">
        <v>7.13</v>
      </c>
      <c r="F33" s="609">
        <v>40.822900000000004</v>
      </c>
      <c r="G33" s="351" t="s">
        <v>55</v>
      </c>
      <c r="H33" s="228"/>
    </row>
    <row r="34" spans="1:8">
      <c r="A34" s="354"/>
      <c r="B34" s="350" t="s">
        <v>57</v>
      </c>
      <c r="C34" s="606">
        <v>3.2</v>
      </c>
      <c r="D34" s="615">
        <v>44.049199999999999</v>
      </c>
      <c r="E34" s="608">
        <v>8.9</v>
      </c>
      <c r="F34" s="609">
        <v>52.949199999999998</v>
      </c>
      <c r="G34" s="351" t="s">
        <v>57</v>
      </c>
      <c r="H34" s="228"/>
    </row>
    <row r="35" spans="1:8">
      <c r="A35" s="354"/>
      <c r="B35" s="350" t="s">
        <v>59</v>
      </c>
      <c r="C35" s="606">
        <v>3.2</v>
      </c>
      <c r="D35" s="615">
        <v>53.688750000000013</v>
      </c>
      <c r="E35" s="608">
        <v>11.23</v>
      </c>
      <c r="F35" s="609">
        <v>64.918750000000017</v>
      </c>
      <c r="G35" s="351" t="s">
        <v>59</v>
      </c>
      <c r="H35" s="228"/>
    </row>
    <row r="36" spans="1:8">
      <c r="A36" s="354"/>
      <c r="B36" s="350" t="s">
        <v>60</v>
      </c>
      <c r="C36" s="606">
        <v>3.6</v>
      </c>
      <c r="D36" s="615">
        <v>66.472239999999999</v>
      </c>
      <c r="E36" s="608">
        <v>13.12</v>
      </c>
      <c r="F36" s="609">
        <v>79.592240000000004</v>
      </c>
      <c r="G36" s="351" t="s">
        <v>60</v>
      </c>
      <c r="H36" s="228"/>
    </row>
    <row r="37" spans="1:8">
      <c r="A37" s="354"/>
      <c r="B37" s="350" t="s">
        <v>62</v>
      </c>
      <c r="C37" s="606">
        <v>4</v>
      </c>
      <c r="D37" s="615">
        <v>102.09772000000001</v>
      </c>
      <c r="E37" s="608">
        <v>16.87</v>
      </c>
      <c r="F37" s="609">
        <v>118.96772000000001</v>
      </c>
      <c r="G37" s="351" t="s">
        <v>62</v>
      </c>
      <c r="H37" s="228"/>
    </row>
    <row r="38" spans="1:8">
      <c r="A38" s="354"/>
      <c r="B38" s="350" t="s">
        <v>63</v>
      </c>
      <c r="C38" s="606">
        <v>4.5</v>
      </c>
      <c r="D38" s="615">
        <v>155.09664000000001</v>
      </c>
      <c r="E38" s="608">
        <v>20.62</v>
      </c>
      <c r="F38" s="609">
        <v>175.71664000000001</v>
      </c>
      <c r="G38" s="351" t="s">
        <v>63</v>
      </c>
      <c r="H38" s="228"/>
    </row>
    <row r="39" spans="1:8">
      <c r="A39" s="354"/>
      <c r="B39" s="350" t="s">
        <v>66</v>
      </c>
      <c r="C39" s="606">
        <v>5</v>
      </c>
      <c r="D39" s="615">
        <v>187.25128000000001</v>
      </c>
      <c r="E39" s="608">
        <v>24.84</v>
      </c>
      <c r="F39" s="609">
        <v>212.09128000000001</v>
      </c>
      <c r="G39" s="351" t="s">
        <v>66</v>
      </c>
      <c r="H39" s="228"/>
    </row>
    <row r="40" spans="1:8">
      <c r="A40" s="354"/>
      <c r="B40" s="350" t="s">
        <v>121</v>
      </c>
      <c r="C40" s="606">
        <v>5</v>
      </c>
      <c r="D40" s="615">
        <v>221.12944000000002</v>
      </c>
      <c r="E40" s="608">
        <v>32.33</v>
      </c>
      <c r="F40" s="609">
        <v>253.45944000000003</v>
      </c>
      <c r="G40" s="351" t="s">
        <v>121</v>
      </c>
      <c r="H40" s="228"/>
    </row>
    <row r="41" spans="1:8">
      <c r="A41" s="354"/>
      <c r="B41" s="350" t="s">
        <v>122</v>
      </c>
      <c r="C41" s="606">
        <v>6.3</v>
      </c>
      <c r="D41" s="615">
        <v>385.28264000000007</v>
      </c>
      <c r="E41" s="608">
        <v>40.29</v>
      </c>
      <c r="F41" s="609">
        <v>425.57264000000009</v>
      </c>
      <c r="G41" s="351" t="s">
        <v>122</v>
      </c>
      <c r="H41" s="228"/>
    </row>
    <row r="42" spans="1:8">
      <c r="A42" s="354"/>
      <c r="B42" s="350" t="s">
        <v>156</v>
      </c>
      <c r="C42" s="606">
        <v>6.3</v>
      </c>
      <c r="D42" s="615">
        <v>445.68200000000002</v>
      </c>
      <c r="E42" s="608">
        <v>47.8</v>
      </c>
      <c r="F42" s="609">
        <v>493.48200000000003</v>
      </c>
      <c r="G42" s="351" t="s">
        <v>156</v>
      </c>
      <c r="H42" s="228"/>
    </row>
    <row r="43" spans="1:8">
      <c r="A43" s="354"/>
      <c r="B43" s="350" t="s">
        <v>158</v>
      </c>
      <c r="C43" s="606">
        <v>6.3</v>
      </c>
      <c r="D43" s="615">
        <v>586.533008</v>
      </c>
      <c r="E43" s="608">
        <v>52</v>
      </c>
      <c r="F43" s="609">
        <v>638.533008</v>
      </c>
      <c r="G43" s="351" t="s">
        <v>158</v>
      </c>
      <c r="H43" s="228"/>
    </row>
    <row r="44" spans="1:8">
      <c r="A44" s="354"/>
      <c r="B44" s="362" t="s">
        <v>176</v>
      </c>
      <c r="C44" s="606">
        <v>7.1</v>
      </c>
      <c r="D44" s="615">
        <v>814.51200000000006</v>
      </c>
      <c r="E44" s="608">
        <v>59.98</v>
      </c>
      <c r="F44" s="609">
        <v>874.49200000000008</v>
      </c>
      <c r="G44" s="351" t="s">
        <v>176</v>
      </c>
      <c r="H44" s="228"/>
    </row>
    <row r="45" spans="1:8">
      <c r="A45" s="354"/>
      <c r="B45" s="362" t="s">
        <v>178</v>
      </c>
      <c r="C45" s="606">
        <v>8.1</v>
      </c>
      <c r="D45" s="615">
        <v>1326.9866400000001</v>
      </c>
      <c r="E45" s="608">
        <v>74.97</v>
      </c>
      <c r="F45" s="609">
        <v>1401.9566400000001</v>
      </c>
      <c r="G45" s="351" t="s">
        <v>178</v>
      </c>
    </row>
    <row r="46" spans="1:8" ht="15.75" thickBot="1">
      <c r="A46" s="355"/>
      <c r="B46" s="363"/>
      <c r="C46" s="616"/>
      <c r="D46" s="616"/>
      <c r="E46" s="613"/>
      <c r="F46" s="614"/>
      <c r="G46" s="357" t="s">
        <v>190</v>
      </c>
    </row>
  </sheetData>
  <mergeCells count="9">
    <mergeCell ref="W2:X2"/>
    <mergeCell ref="C3:D3"/>
    <mergeCell ref="Q3:R3"/>
    <mergeCell ref="A26:G26"/>
    <mergeCell ref="C27:D27"/>
    <mergeCell ref="A2:G2"/>
    <mergeCell ref="I2:J2"/>
    <mergeCell ref="L2:M2"/>
    <mergeCell ref="O2:U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B0CC-E324-4D5C-9F73-415C981F2717}">
  <dimension ref="A1:I345"/>
  <sheetViews>
    <sheetView workbookViewId="0">
      <selection activeCell="P15" sqref="P15"/>
    </sheetView>
  </sheetViews>
  <sheetFormatPr defaultRowHeight="15"/>
  <cols>
    <col min="1" max="1" width="6.5703125" style="40" customWidth="1"/>
    <col min="2" max="2" width="17.42578125" customWidth="1"/>
    <col min="3" max="3" width="14" customWidth="1"/>
    <col min="4" max="5" width="8.7109375" customWidth="1"/>
    <col min="6" max="6" width="5.42578125" customWidth="1"/>
    <col min="7" max="7" width="11.85546875" customWidth="1"/>
    <col min="8" max="8" width="28.140625" customWidth="1"/>
    <col min="257" max="257" width="6.5703125" customWidth="1"/>
    <col min="258" max="258" width="17.42578125" customWidth="1"/>
    <col min="259" max="259" width="14" customWidth="1"/>
    <col min="260" max="261" width="8.7109375" customWidth="1"/>
    <col min="262" max="262" width="5.42578125" customWidth="1"/>
    <col min="263" max="263" width="11.85546875" customWidth="1"/>
    <col min="264" max="264" width="28.140625" customWidth="1"/>
    <col min="513" max="513" width="6.5703125" customWidth="1"/>
    <col min="514" max="514" width="17.42578125" customWidth="1"/>
    <col min="515" max="515" width="14" customWidth="1"/>
    <col min="516" max="517" width="8.7109375" customWidth="1"/>
    <col min="518" max="518" width="5.42578125" customWidth="1"/>
    <col min="519" max="519" width="11.85546875" customWidth="1"/>
    <col min="520" max="520" width="28.140625" customWidth="1"/>
    <col min="769" max="769" width="6.5703125" customWidth="1"/>
    <col min="770" max="770" width="17.42578125" customWidth="1"/>
    <col min="771" max="771" width="14" customWidth="1"/>
    <col min="772" max="773" width="8.7109375" customWidth="1"/>
    <col min="774" max="774" width="5.42578125" customWidth="1"/>
    <col min="775" max="775" width="11.85546875" customWidth="1"/>
    <col min="776" max="776" width="28.140625" customWidth="1"/>
    <col min="1025" max="1025" width="6.5703125" customWidth="1"/>
    <col min="1026" max="1026" width="17.42578125" customWidth="1"/>
    <col min="1027" max="1027" width="14" customWidth="1"/>
    <col min="1028" max="1029" width="8.7109375" customWidth="1"/>
    <col min="1030" max="1030" width="5.42578125" customWidth="1"/>
    <col min="1031" max="1031" width="11.85546875" customWidth="1"/>
    <col min="1032" max="1032" width="28.140625" customWidth="1"/>
    <col min="1281" max="1281" width="6.5703125" customWidth="1"/>
    <col min="1282" max="1282" width="17.42578125" customWidth="1"/>
    <col min="1283" max="1283" width="14" customWidth="1"/>
    <col min="1284" max="1285" width="8.7109375" customWidth="1"/>
    <col min="1286" max="1286" width="5.42578125" customWidth="1"/>
    <col min="1287" max="1287" width="11.85546875" customWidth="1"/>
    <col min="1288" max="1288" width="28.140625" customWidth="1"/>
    <col min="1537" max="1537" width="6.5703125" customWidth="1"/>
    <col min="1538" max="1538" width="17.42578125" customWidth="1"/>
    <col min="1539" max="1539" width="14" customWidth="1"/>
    <col min="1540" max="1541" width="8.7109375" customWidth="1"/>
    <col min="1542" max="1542" width="5.42578125" customWidth="1"/>
    <col min="1543" max="1543" width="11.85546875" customWidth="1"/>
    <col min="1544" max="1544" width="28.140625" customWidth="1"/>
    <col min="1793" max="1793" width="6.5703125" customWidth="1"/>
    <col min="1794" max="1794" width="17.42578125" customWidth="1"/>
    <col min="1795" max="1795" width="14" customWidth="1"/>
    <col min="1796" max="1797" width="8.7109375" customWidth="1"/>
    <col min="1798" max="1798" width="5.42578125" customWidth="1"/>
    <col min="1799" max="1799" width="11.85546875" customWidth="1"/>
    <col min="1800" max="1800" width="28.140625" customWidth="1"/>
    <col min="2049" max="2049" width="6.5703125" customWidth="1"/>
    <col min="2050" max="2050" width="17.42578125" customWidth="1"/>
    <col min="2051" max="2051" width="14" customWidth="1"/>
    <col min="2052" max="2053" width="8.7109375" customWidth="1"/>
    <col min="2054" max="2054" width="5.42578125" customWidth="1"/>
    <col min="2055" max="2055" width="11.85546875" customWidth="1"/>
    <col min="2056" max="2056" width="28.140625" customWidth="1"/>
    <col min="2305" max="2305" width="6.5703125" customWidth="1"/>
    <col min="2306" max="2306" width="17.42578125" customWidth="1"/>
    <col min="2307" max="2307" width="14" customWidth="1"/>
    <col min="2308" max="2309" width="8.7109375" customWidth="1"/>
    <col min="2310" max="2310" width="5.42578125" customWidth="1"/>
    <col min="2311" max="2311" width="11.85546875" customWidth="1"/>
    <col min="2312" max="2312" width="28.140625" customWidth="1"/>
    <col min="2561" max="2561" width="6.5703125" customWidth="1"/>
    <col min="2562" max="2562" width="17.42578125" customWidth="1"/>
    <col min="2563" max="2563" width="14" customWidth="1"/>
    <col min="2564" max="2565" width="8.7109375" customWidth="1"/>
    <col min="2566" max="2566" width="5.42578125" customWidth="1"/>
    <col min="2567" max="2567" width="11.85546875" customWidth="1"/>
    <col min="2568" max="2568" width="28.140625" customWidth="1"/>
    <col min="2817" max="2817" width="6.5703125" customWidth="1"/>
    <col min="2818" max="2818" width="17.42578125" customWidth="1"/>
    <col min="2819" max="2819" width="14" customWidth="1"/>
    <col min="2820" max="2821" width="8.7109375" customWidth="1"/>
    <col min="2822" max="2822" width="5.42578125" customWidth="1"/>
    <col min="2823" max="2823" width="11.85546875" customWidth="1"/>
    <col min="2824" max="2824" width="28.140625" customWidth="1"/>
    <col min="3073" max="3073" width="6.5703125" customWidth="1"/>
    <col min="3074" max="3074" width="17.42578125" customWidth="1"/>
    <col min="3075" max="3075" width="14" customWidth="1"/>
    <col min="3076" max="3077" width="8.7109375" customWidth="1"/>
    <col min="3078" max="3078" width="5.42578125" customWidth="1"/>
    <col min="3079" max="3079" width="11.85546875" customWidth="1"/>
    <col min="3080" max="3080" width="28.140625" customWidth="1"/>
    <col min="3329" max="3329" width="6.5703125" customWidth="1"/>
    <col min="3330" max="3330" width="17.42578125" customWidth="1"/>
    <col min="3331" max="3331" width="14" customWidth="1"/>
    <col min="3332" max="3333" width="8.7109375" customWidth="1"/>
    <col min="3334" max="3334" width="5.42578125" customWidth="1"/>
    <col min="3335" max="3335" width="11.85546875" customWidth="1"/>
    <col min="3336" max="3336" width="28.140625" customWidth="1"/>
    <col min="3585" max="3585" width="6.5703125" customWidth="1"/>
    <col min="3586" max="3586" width="17.42578125" customWidth="1"/>
    <col min="3587" max="3587" width="14" customWidth="1"/>
    <col min="3588" max="3589" width="8.7109375" customWidth="1"/>
    <col min="3590" max="3590" width="5.42578125" customWidth="1"/>
    <col min="3591" max="3591" width="11.85546875" customWidth="1"/>
    <col min="3592" max="3592" width="28.140625" customWidth="1"/>
    <col min="3841" max="3841" width="6.5703125" customWidth="1"/>
    <col min="3842" max="3842" width="17.42578125" customWidth="1"/>
    <col min="3843" max="3843" width="14" customWidth="1"/>
    <col min="3844" max="3845" width="8.7109375" customWidth="1"/>
    <col min="3846" max="3846" width="5.42578125" customWidth="1"/>
    <col min="3847" max="3847" width="11.85546875" customWidth="1"/>
    <col min="3848" max="3848" width="28.140625" customWidth="1"/>
    <col min="4097" max="4097" width="6.5703125" customWidth="1"/>
    <col min="4098" max="4098" width="17.42578125" customWidth="1"/>
    <col min="4099" max="4099" width="14" customWidth="1"/>
    <col min="4100" max="4101" width="8.7109375" customWidth="1"/>
    <col min="4102" max="4102" width="5.42578125" customWidth="1"/>
    <col min="4103" max="4103" width="11.85546875" customWidth="1"/>
    <col min="4104" max="4104" width="28.140625" customWidth="1"/>
    <col min="4353" max="4353" width="6.5703125" customWidth="1"/>
    <col min="4354" max="4354" width="17.42578125" customWidth="1"/>
    <col min="4355" max="4355" width="14" customWidth="1"/>
    <col min="4356" max="4357" width="8.7109375" customWidth="1"/>
    <col min="4358" max="4358" width="5.42578125" customWidth="1"/>
    <col min="4359" max="4359" width="11.85546875" customWidth="1"/>
    <col min="4360" max="4360" width="28.140625" customWidth="1"/>
    <col min="4609" max="4609" width="6.5703125" customWidth="1"/>
    <col min="4610" max="4610" width="17.42578125" customWidth="1"/>
    <col min="4611" max="4611" width="14" customWidth="1"/>
    <col min="4612" max="4613" width="8.7109375" customWidth="1"/>
    <col min="4614" max="4614" width="5.42578125" customWidth="1"/>
    <col min="4615" max="4615" width="11.85546875" customWidth="1"/>
    <col min="4616" max="4616" width="28.140625" customWidth="1"/>
    <col min="4865" max="4865" width="6.5703125" customWidth="1"/>
    <col min="4866" max="4866" width="17.42578125" customWidth="1"/>
    <col min="4867" max="4867" width="14" customWidth="1"/>
    <col min="4868" max="4869" width="8.7109375" customWidth="1"/>
    <col min="4870" max="4870" width="5.42578125" customWidth="1"/>
    <col min="4871" max="4871" width="11.85546875" customWidth="1"/>
    <col min="4872" max="4872" width="28.140625" customWidth="1"/>
    <col min="5121" max="5121" width="6.5703125" customWidth="1"/>
    <col min="5122" max="5122" width="17.42578125" customWidth="1"/>
    <col min="5123" max="5123" width="14" customWidth="1"/>
    <col min="5124" max="5125" width="8.7109375" customWidth="1"/>
    <col min="5126" max="5126" width="5.42578125" customWidth="1"/>
    <col min="5127" max="5127" width="11.85546875" customWidth="1"/>
    <col min="5128" max="5128" width="28.140625" customWidth="1"/>
    <col min="5377" max="5377" width="6.5703125" customWidth="1"/>
    <col min="5378" max="5378" width="17.42578125" customWidth="1"/>
    <col min="5379" max="5379" width="14" customWidth="1"/>
    <col min="5380" max="5381" width="8.7109375" customWidth="1"/>
    <col min="5382" max="5382" width="5.42578125" customWidth="1"/>
    <col min="5383" max="5383" width="11.85546875" customWidth="1"/>
    <col min="5384" max="5384" width="28.140625" customWidth="1"/>
    <col min="5633" max="5633" width="6.5703125" customWidth="1"/>
    <col min="5634" max="5634" width="17.42578125" customWidth="1"/>
    <col min="5635" max="5635" width="14" customWidth="1"/>
    <col min="5636" max="5637" width="8.7109375" customWidth="1"/>
    <col min="5638" max="5638" width="5.42578125" customWidth="1"/>
    <col min="5639" max="5639" width="11.85546875" customWidth="1"/>
    <col min="5640" max="5640" width="28.140625" customWidth="1"/>
    <col min="5889" max="5889" width="6.5703125" customWidth="1"/>
    <col min="5890" max="5890" width="17.42578125" customWidth="1"/>
    <col min="5891" max="5891" width="14" customWidth="1"/>
    <col min="5892" max="5893" width="8.7109375" customWidth="1"/>
    <col min="5894" max="5894" width="5.42578125" customWidth="1"/>
    <col min="5895" max="5895" width="11.85546875" customWidth="1"/>
    <col min="5896" max="5896" width="28.140625" customWidth="1"/>
    <col min="6145" max="6145" width="6.5703125" customWidth="1"/>
    <col min="6146" max="6146" width="17.42578125" customWidth="1"/>
    <col min="6147" max="6147" width="14" customWidth="1"/>
    <col min="6148" max="6149" width="8.7109375" customWidth="1"/>
    <col min="6150" max="6150" width="5.42578125" customWidth="1"/>
    <col min="6151" max="6151" width="11.85546875" customWidth="1"/>
    <col min="6152" max="6152" width="28.140625" customWidth="1"/>
    <col min="6401" max="6401" width="6.5703125" customWidth="1"/>
    <col min="6402" max="6402" width="17.42578125" customWidth="1"/>
    <col min="6403" max="6403" width="14" customWidth="1"/>
    <col min="6404" max="6405" width="8.7109375" customWidth="1"/>
    <col min="6406" max="6406" width="5.42578125" customWidth="1"/>
    <col min="6407" max="6407" width="11.85546875" customWidth="1"/>
    <col min="6408" max="6408" width="28.140625" customWidth="1"/>
    <col min="6657" max="6657" width="6.5703125" customWidth="1"/>
    <col min="6658" max="6658" width="17.42578125" customWidth="1"/>
    <col min="6659" max="6659" width="14" customWidth="1"/>
    <col min="6660" max="6661" width="8.7109375" customWidth="1"/>
    <col min="6662" max="6662" width="5.42578125" customWidth="1"/>
    <col min="6663" max="6663" width="11.85546875" customWidth="1"/>
    <col min="6664" max="6664" width="28.140625" customWidth="1"/>
    <col min="6913" max="6913" width="6.5703125" customWidth="1"/>
    <col min="6914" max="6914" width="17.42578125" customWidth="1"/>
    <col min="6915" max="6915" width="14" customWidth="1"/>
    <col min="6916" max="6917" width="8.7109375" customWidth="1"/>
    <col min="6918" max="6918" width="5.42578125" customWidth="1"/>
    <col min="6919" max="6919" width="11.85546875" customWidth="1"/>
    <col min="6920" max="6920" width="28.140625" customWidth="1"/>
    <col min="7169" max="7169" width="6.5703125" customWidth="1"/>
    <col min="7170" max="7170" width="17.42578125" customWidth="1"/>
    <col min="7171" max="7171" width="14" customWidth="1"/>
    <col min="7172" max="7173" width="8.7109375" customWidth="1"/>
    <col min="7174" max="7174" width="5.42578125" customWidth="1"/>
    <col min="7175" max="7175" width="11.85546875" customWidth="1"/>
    <col min="7176" max="7176" width="28.140625" customWidth="1"/>
    <col min="7425" max="7425" width="6.5703125" customWidth="1"/>
    <col min="7426" max="7426" width="17.42578125" customWidth="1"/>
    <col min="7427" max="7427" width="14" customWidth="1"/>
    <col min="7428" max="7429" width="8.7109375" customWidth="1"/>
    <col min="7430" max="7430" width="5.42578125" customWidth="1"/>
    <col min="7431" max="7431" width="11.85546875" customWidth="1"/>
    <col min="7432" max="7432" width="28.140625" customWidth="1"/>
    <col min="7681" max="7681" width="6.5703125" customWidth="1"/>
    <col min="7682" max="7682" width="17.42578125" customWidth="1"/>
    <col min="7683" max="7683" width="14" customWidth="1"/>
    <col min="7684" max="7685" width="8.7109375" customWidth="1"/>
    <col min="7686" max="7686" width="5.42578125" customWidth="1"/>
    <col min="7687" max="7687" width="11.85546875" customWidth="1"/>
    <col min="7688" max="7688" width="28.140625" customWidth="1"/>
    <col min="7937" max="7937" width="6.5703125" customWidth="1"/>
    <col min="7938" max="7938" width="17.42578125" customWidth="1"/>
    <col min="7939" max="7939" width="14" customWidth="1"/>
    <col min="7940" max="7941" width="8.7109375" customWidth="1"/>
    <col min="7942" max="7942" width="5.42578125" customWidth="1"/>
    <col min="7943" max="7943" width="11.85546875" customWidth="1"/>
    <col min="7944" max="7944" width="28.140625" customWidth="1"/>
    <col min="8193" max="8193" width="6.5703125" customWidth="1"/>
    <col min="8194" max="8194" width="17.42578125" customWidth="1"/>
    <col min="8195" max="8195" width="14" customWidth="1"/>
    <col min="8196" max="8197" width="8.7109375" customWidth="1"/>
    <col min="8198" max="8198" width="5.42578125" customWidth="1"/>
    <col min="8199" max="8199" width="11.85546875" customWidth="1"/>
    <col min="8200" max="8200" width="28.140625" customWidth="1"/>
    <col min="8449" max="8449" width="6.5703125" customWidth="1"/>
    <col min="8450" max="8450" width="17.42578125" customWidth="1"/>
    <col min="8451" max="8451" width="14" customWidth="1"/>
    <col min="8452" max="8453" width="8.7109375" customWidth="1"/>
    <col min="8454" max="8454" width="5.42578125" customWidth="1"/>
    <col min="8455" max="8455" width="11.85546875" customWidth="1"/>
    <col min="8456" max="8456" width="28.140625" customWidth="1"/>
    <col min="8705" max="8705" width="6.5703125" customWidth="1"/>
    <col min="8706" max="8706" width="17.42578125" customWidth="1"/>
    <col min="8707" max="8707" width="14" customWidth="1"/>
    <col min="8708" max="8709" width="8.7109375" customWidth="1"/>
    <col min="8710" max="8710" width="5.42578125" customWidth="1"/>
    <col min="8711" max="8711" width="11.85546875" customWidth="1"/>
    <col min="8712" max="8712" width="28.140625" customWidth="1"/>
    <col min="8961" max="8961" width="6.5703125" customWidth="1"/>
    <col min="8962" max="8962" width="17.42578125" customWidth="1"/>
    <col min="8963" max="8963" width="14" customWidth="1"/>
    <col min="8964" max="8965" width="8.7109375" customWidth="1"/>
    <col min="8966" max="8966" width="5.42578125" customWidth="1"/>
    <col min="8967" max="8967" width="11.85546875" customWidth="1"/>
    <col min="8968" max="8968" width="28.140625" customWidth="1"/>
    <col min="9217" max="9217" width="6.5703125" customWidth="1"/>
    <col min="9218" max="9218" width="17.42578125" customWidth="1"/>
    <col min="9219" max="9219" width="14" customWidth="1"/>
    <col min="9220" max="9221" width="8.7109375" customWidth="1"/>
    <col min="9222" max="9222" width="5.42578125" customWidth="1"/>
    <col min="9223" max="9223" width="11.85546875" customWidth="1"/>
    <col min="9224" max="9224" width="28.140625" customWidth="1"/>
    <col min="9473" max="9473" width="6.5703125" customWidth="1"/>
    <col min="9474" max="9474" width="17.42578125" customWidth="1"/>
    <col min="9475" max="9475" width="14" customWidth="1"/>
    <col min="9476" max="9477" width="8.7109375" customWidth="1"/>
    <col min="9478" max="9478" width="5.42578125" customWidth="1"/>
    <col min="9479" max="9479" width="11.85546875" customWidth="1"/>
    <col min="9480" max="9480" width="28.140625" customWidth="1"/>
    <col min="9729" max="9729" width="6.5703125" customWidth="1"/>
    <col min="9730" max="9730" width="17.42578125" customWidth="1"/>
    <col min="9731" max="9731" width="14" customWidth="1"/>
    <col min="9732" max="9733" width="8.7109375" customWidth="1"/>
    <col min="9734" max="9734" width="5.42578125" customWidth="1"/>
    <col min="9735" max="9735" width="11.85546875" customWidth="1"/>
    <col min="9736" max="9736" width="28.140625" customWidth="1"/>
    <col min="9985" max="9985" width="6.5703125" customWidth="1"/>
    <col min="9986" max="9986" width="17.42578125" customWidth="1"/>
    <col min="9987" max="9987" width="14" customWidth="1"/>
    <col min="9988" max="9989" width="8.7109375" customWidth="1"/>
    <col min="9990" max="9990" width="5.42578125" customWidth="1"/>
    <col min="9991" max="9991" width="11.85546875" customWidth="1"/>
    <col min="9992" max="9992" width="28.140625" customWidth="1"/>
    <col min="10241" max="10241" width="6.5703125" customWidth="1"/>
    <col min="10242" max="10242" width="17.42578125" customWidth="1"/>
    <col min="10243" max="10243" width="14" customWidth="1"/>
    <col min="10244" max="10245" width="8.7109375" customWidth="1"/>
    <col min="10246" max="10246" width="5.42578125" customWidth="1"/>
    <col min="10247" max="10247" width="11.85546875" customWidth="1"/>
    <col min="10248" max="10248" width="28.140625" customWidth="1"/>
    <col min="10497" max="10497" width="6.5703125" customWidth="1"/>
    <col min="10498" max="10498" width="17.42578125" customWidth="1"/>
    <col min="10499" max="10499" width="14" customWidth="1"/>
    <col min="10500" max="10501" width="8.7109375" customWidth="1"/>
    <col min="10502" max="10502" width="5.42578125" customWidth="1"/>
    <col min="10503" max="10503" width="11.85546875" customWidth="1"/>
    <col min="10504" max="10504" width="28.140625" customWidth="1"/>
    <col min="10753" max="10753" width="6.5703125" customWidth="1"/>
    <col min="10754" max="10754" width="17.42578125" customWidth="1"/>
    <col min="10755" max="10755" width="14" customWidth="1"/>
    <col min="10756" max="10757" width="8.7109375" customWidth="1"/>
    <col min="10758" max="10758" width="5.42578125" customWidth="1"/>
    <col min="10759" max="10759" width="11.85546875" customWidth="1"/>
    <col min="10760" max="10760" width="28.140625" customWidth="1"/>
    <col min="11009" max="11009" width="6.5703125" customWidth="1"/>
    <col min="11010" max="11010" width="17.42578125" customWidth="1"/>
    <col min="11011" max="11011" width="14" customWidth="1"/>
    <col min="11012" max="11013" width="8.7109375" customWidth="1"/>
    <col min="11014" max="11014" width="5.42578125" customWidth="1"/>
    <col min="11015" max="11015" width="11.85546875" customWidth="1"/>
    <col min="11016" max="11016" width="28.140625" customWidth="1"/>
    <col min="11265" max="11265" width="6.5703125" customWidth="1"/>
    <col min="11266" max="11266" width="17.42578125" customWidth="1"/>
    <col min="11267" max="11267" width="14" customWidth="1"/>
    <col min="11268" max="11269" width="8.7109375" customWidth="1"/>
    <col min="11270" max="11270" width="5.42578125" customWidth="1"/>
    <col min="11271" max="11271" width="11.85546875" customWidth="1"/>
    <col min="11272" max="11272" width="28.140625" customWidth="1"/>
    <col min="11521" max="11521" width="6.5703125" customWidth="1"/>
    <col min="11522" max="11522" width="17.42578125" customWidth="1"/>
    <col min="11523" max="11523" width="14" customWidth="1"/>
    <col min="11524" max="11525" width="8.7109375" customWidth="1"/>
    <col min="11526" max="11526" width="5.42578125" customWidth="1"/>
    <col min="11527" max="11527" width="11.85546875" customWidth="1"/>
    <col min="11528" max="11528" width="28.140625" customWidth="1"/>
    <col min="11777" max="11777" width="6.5703125" customWidth="1"/>
    <col min="11778" max="11778" width="17.42578125" customWidth="1"/>
    <col min="11779" max="11779" width="14" customWidth="1"/>
    <col min="11780" max="11781" width="8.7109375" customWidth="1"/>
    <col min="11782" max="11782" width="5.42578125" customWidth="1"/>
    <col min="11783" max="11783" width="11.85546875" customWidth="1"/>
    <col min="11784" max="11784" width="28.140625" customWidth="1"/>
    <col min="12033" max="12033" width="6.5703125" customWidth="1"/>
    <col min="12034" max="12034" width="17.42578125" customWidth="1"/>
    <col min="12035" max="12035" width="14" customWidth="1"/>
    <col min="12036" max="12037" width="8.7109375" customWidth="1"/>
    <col min="12038" max="12038" width="5.42578125" customWidth="1"/>
    <col min="12039" max="12039" width="11.85546875" customWidth="1"/>
    <col min="12040" max="12040" width="28.140625" customWidth="1"/>
    <col min="12289" max="12289" width="6.5703125" customWidth="1"/>
    <col min="12290" max="12290" width="17.42578125" customWidth="1"/>
    <col min="12291" max="12291" width="14" customWidth="1"/>
    <col min="12292" max="12293" width="8.7109375" customWidth="1"/>
    <col min="12294" max="12294" width="5.42578125" customWidth="1"/>
    <col min="12295" max="12295" width="11.85546875" customWidth="1"/>
    <col min="12296" max="12296" width="28.140625" customWidth="1"/>
    <col min="12545" max="12545" width="6.5703125" customWidth="1"/>
    <col min="12546" max="12546" width="17.42578125" customWidth="1"/>
    <col min="12547" max="12547" width="14" customWidth="1"/>
    <col min="12548" max="12549" width="8.7109375" customWidth="1"/>
    <col min="12550" max="12550" width="5.42578125" customWidth="1"/>
    <col min="12551" max="12551" width="11.85546875" customWidth="1"/>
    <col min="12552" max="12552" width="28.140625" customWidth="1"/>
    <col min="12801" max="12801" width="6.5703125" customWidth="1"/>
    <col min="12802" max="12802" width="17.42578125" customWidth="1"/>
    <col min="12803" max="12803" width="14" customWidth="1"/>
    <col min="12804" max="12805" width="8.7109375" customWidth="1"/>
    <col min="12806" max="12806" width="5.42578125" customWidth="1"/>
    <col min="12807" max="12807" width="11.85546875" customWidth="1"/>
    <col min="12808" max="12808" width="28.140625" customWidth="1"/>
    <col min="13057" max="13057" width="6.5703125" customWidth="1"/>
    <col min="13058" max="13058" width="17.42578125" customWidth="1"/>
    <col min="13059" max="13059" width="14" customWidth="1"/>
    <col min="13060" max="13061" width="8.7109375" customWidth="1"/>
    <col min="13062" max="13062" width="5.42578125" customWidth="1"/>
    <col min="13063" max="13063" width="11.85546875" customWidth="1"/>
    <col min="13064" max="13064" width="28.140625" customWidth="1"/>
    <col min="13313" max="13313" width="6.5703125" customWidth="1"/>
    <col min="13314" max="13314" width="17.42578125" customWidth="1"/>
    <col min="13315" max="13315" width="14" customWidth="1"/>
    <col min="13316" max="13317" width="8.7109375" customWidth="1"/>
    <col min="13318" max="13318" width="5.42578125" customWidth="1"/>
    <col min="13319" max="13319" width="11.85546875" customWidth="1"/>
    <col min="13320" max="13320" width="28.140625" customWidth="1"/>
    <col min="13569" max="13569" width="6.5703125" customWidth="1"/>
    <col min="13570" max="13570" width="17.42578125" customWidth="1"/>
    <col min="13571" max="13571" width="14" customWidth="1"/>
    <col min="13572" max="13573" width="8.7109375" customWidth="1"/>
    <col min="13574" max="13574" width="5.42578125" customWidth="1"/>
    <col min="13575" max="13575" width="11.85546875" customWidth="1"/>
    <col min="13576" max="13576" width="28.140625" customWidth="1"/>
    <col min="13825" max="13825" width="6.5703125" customWidth="1"/>
    <col min="13826" max="13826" width="17.42578125" customWidth="1"/>
    <col min="13827" max="13827" width="14" customWidth="1"/>
    <col min="13828" max="13829" width="8.7109375" customWidth="1"/>
    <col min="13830" max="13830" width="5.42578125" customWidth="1"/>
    <col min="13831" max="13831" width="11.85546875" customWidth="1"/>
    <col min="13832" max="13832" width="28.140625" customWidth="1"/>
    <col min="14081" max="14081" width="6.5703125" customWidth="1"/>
    <col min="14082" max="14082" width="17.42578125" customWidth="1"/>
    <col min="14083" max="14083" width="14" customWidth="1"/>
    <col min="14084" max="14085" width="8.7109375" customWidth="1"/>
    <col min="14086" max="14086" width="5.42578125" customWidth="1"/>
    <col min="14087" max="14087" width="11.85546875" customWidth="1"/>
    <col min="14088" max="14088" width="28.140625" customWidth="1"/>
    <col min="14337" max="14337" width="6.5703125" customWidth="1"/>
    <col min="14338" max="14338" width="17.42578125" customWidth="1"/>
    <col min="14339" max="14339" width="14" customWidth="1"/>
    <col min="14340" max="14341" width="8.7109375" customWidth="1"/>
    <col min="14342" max="14342" width="5.42578125" customWidth="1"/>
    <col min="14343" max="14343" width="11.85546875" customWidth="1"/>
    <col min="14344" max="14344" width="28.140625" customWidth="1"/>
    <col min="14593" max="14593" width="6.5703125" customWidth="1"/>
    <col min="14594" max="14594" width="17.42578125" customWidth="1"/>
    <col min="14595" max="14595" width="14" customWidth="1"/>
    <col min="14596" max="14597" width="8.7109375" customWidth="1"/>
    <col min="14598" max="14598" width="5.42578125" customWidth="1"/>
    <col min="14599" max="14599" width="11.85546875" customWidth="1"/>
    <col min="14600" max="14600" width="28.140625" customWidth="1"/>
    <col min="14849" max="14849" width="6.5703125" customWidth="1"/>
    <col min="14850" max="14850" width="17.42578125" customWidth="1"/>
    <col min="14851" max="14851" width="14" customWidth="1"/>
    <col min="14852" max="14853" width="8.7109375" customWidth="1"/>
    <col min="14854" max="14854" width="5.42578125" customWidth="1"/>
    <col min="14855" max="14855" width="11.85546875" customWidth="1"/>
    <col min="14856" max="14856" width="28.140625" customWidth="1"/>
    <col min="15105" max="15105" width="6.5703125" customWidth="1"/>
    <col min="15106" max="15106" width="17.42578125" customWidth="1"/>
    <col min="15107" max="15107" width="14" customWidth="1"/>
    <col min="15108" max="15109" width="8.7109375" customWidth="1"/>
    <col min="15110" max="15110" width="5.42578125" customWidth="1"/>
    <col min="15111" max="15111" width="11.85546875" customWidth="1"/>
    <col min="15112" max="15112" width="28.140625" customWidth="1"/>
    <col min="15361" max="15361" width="6.5703125" customWidth="1"/>
    <col min="15362" max="15362" width="17.42578125" customWidth="1"/>
    <col min="15363" max="15363" width="14" customWidth="1"/>
    <col min="15364" max="15365" width="8.7109375" customWidth="1"/>
    <col min="15366" max="15366" width="5.42578125" customWidth="1"/>
    <col min="15367" max="15367" width="11.85546875" customWidth="1"/>
    <col min="15368" max="15368" width="28.140625" customWidth="1"/>
    <col min="15617" max="15617" width="6.5703125" customWidth="1"/>
    <col min="15618" max="15618" width="17.42578125" customWidth="1"/>
    <col min="15619" max="15619" width="14" customWidth="1"/>
    <col min="15620" max="15621" width="8.7109375" customWidth="1"/>
    <col min="15622" max="15622" width="5.42578125" customWidth="1"/>
    <col min="15623" max="15623" width="11.85546875" customWidth="1"/>
    <col min="15624" max="15624" width="28.140625" customWidth="1"/>
    <col min="15873" max="15873" width="6.5703125" customWidth="1"/>
    <col min="15874" max="15874" width="17.42578125" customWidth="1"/>
    <col min="15875" max="15875" width="14" customWidth="1"/>
    <col min="15876" max="15877" width="8.7109375" customWidth="1"/>
    <col min="15878" max="15878" width="5.42578125" customWidth="1"/>
    <col min="15879" max="15879" width="11.85546875" customWidth="1"/>
    <col min="15880" max="15880" width="28.140625" customWidth="1"/>
    <col min="16129" max="16129" width="6.5703125" customWidth="1"/>
    <col min="16130" max="16130" width="17.42578125" customWidth="1"/>
    <col min="16131" max="16131" width="14" customWidth="1"/>
    <col min="16132" max="16133" width="8.7109375" customWidth="1"/>
    <col min="16134" max="16134" width="5.42578125" customWidth="1"/>
    <col min="16135" max="16135" width="11.85546875" customWidth="1"/>
    <col min="16136" max="16136" width="28.140625" customWidth="1"/>
  </cols>
  <sheetData>
    <row r="1" spans="1:8" ht="56.25">
      <c r="A1" s="279" t="s">
        <v>1032</v>
      </c>
      <c r="B1" s="364" t="s">
        <v>1</v>
      </c>
      <c r="C1" s="365" t="s">
        <v>1014</v>
      </c>
      <c r="D1" s="365" t="s">
        <v>951</v>
      </c>
      <c r="E1" s="366" t="s">
        <v>1015</v>
      </c>
      <c r="F1" s="367" t="s">
        <v>1091</v>
      </c>
      <c r="G1" s="508" t="s">
        <v>1092</v>
      </c>
      <c r="H1" s="368" t="s">
        <v>1093</v>
      </c>
    </row>
    <row r="2" spans="1:8">
      <c r="A2" s="369" t="s">
        <v>1032</v>
      </c>
      <c r="B2" s="370"/>
      <c r="C2" s="371"/>
      <c r="D2" s="371"/>
      <c r="E2" s="372"/>
      <c r="F2" s="371"/>
      <c r="G2" s="373"/>
      <c r="H2" s="374"/>
    </row>
    <row r="3" spans="1:8">
      <c r="A3" s="369" t="s">
        <v>1032</v>
      </c>
      <c r="B3" s="375" t="s">
        <v>44</v>
      </c>
      <c r="C3" s="376" t="s">
        <v>47</v>
      </c>
      <c r="D3" s="376" t="s">
        <v>21</v>
      </c>
      <c r="E3" s="377" t="s">
        <v>22</v>
      </c>
      <c r="F3" s="378" t="s">
        <v>19</v>
      </c>
      <c r="G3" s="509">
        <v>35</v>
      </c>
      <c r="H3" s="374" t="s">
        <v>46</v>
      </c>
    </row>
    <row r="4" spans="1:8">
      <c r="A4" s="369" t="s">
        <v>1032</v>
      </c>
      <c r="B4" s="375" t="s">
        <v>44</v>
      </c>
      <c r="C4" s="376" t="s">
        <v>49</v>
      </c>
      <c r="D4" s="376" t="s">
        <v>23</v>
      </c>
      <c r="E4" s="377" t="s">
        <v>24</v>
      </c>
      <c r="F4" s="378" t="s">
        <v>19</v>
      </c>
      <c r="G4" s="509">
        <v>36</v>
      </c>
      <c r="H4" s="374" t="s">
        <v>46</v>
      </c>
    </row>
    <row r="5" spans="1:8">
      <c r="A5" s="369" t="s">
        <v>1032</v>
      </c>
      <c r="B5" s="375" t="s">
        <v>44</v>
      </c>
      <c r="C5" s="376" t="s">
        <v>51</v>
      </c>
      <c r="D5" s="376" t="s">
        <v>1094</v>
      </c>
      <c r="E5" s="377" t="s">
        <v>26</v>
      </c>
      <c r="F5" s="378" t="s">
        <v>19</v>
      </c>
      <c r="G5" s="509">
        <v>40</v>
      </c>
      <c r="H5" s="374" t="s">
        <v>46</v>
      </c>
    </row>
    <row r="6" spans="1:8">
      <c r="A6" s="369" t="s">
        <v>1032</v>
      </c>
      <c r="B6" s="375" t="s">
        <v>44</v>
      </c>
      <c r="C6" s="376" t="s">
        <v>53</v>
      </c>
      <c r="D6" s="376" t="s">
        <v>1095</v>
      </c>
      <c r="E6" s="377" t="s">
        <v>28</v>
      </c>
      <c r="F6" s="378" t="s">
        <v>19</v>
      </c>
      <c r="G6" s="509">
        <v>43</v>
      </c>
      <c r="H6" s="374" t="s">
        <v>46</v>
      </c>
    </row>
    <row r="7" spans="1:8">
      <c r="A7" s="369" t="s">
        <v>1032</v>
      </c>
      <c r="B7" s="375" t="s">
        <v>44</v>
      </c>
      <c r="C7" s="376" t="s">
        <v>55</v>
      </c>
      <c r="D7" s="376" t="s">
        <v>1096</v>
      </c>
      <c r="E7" s="377" t="s">
        <v>30</v>
      </c>
      <c r="F7" s="378" t="s">
        <v>19</v>
      </c>
      <c r="G7" s="509">
        <v>55</v>
      </c>
      <c r="H7" s="374" t="s">
        <v>46</v>
      </c>
    </row>
    <row r="8" spans="1:8">
      <c r="A8" s="369" t="s">
        <v>1032</v>
      </c>
      <c r="B8" s="375" t="s">
        <v>44</v>
      </c>
      <c r="C8" s="376" t="s">
        <v>57</v>
      </c>
      <c r="D8" s="376" t="s">
        <v>1097</v>
      </c>
      <c r="E8" s="377" t="s">
        <v>32</v>
      </c>
      <c r="F8" s="378" t="s">
        <v>19</v>
      </c>
      <c r="G8" s="509">
        <v>62</v>
      </c>
      <c r="H8" s="374" t="s">
        <v>46</v>
      </c>
    </row>
    <row r="9" spans="1:8">
      <c r="A9" s="369" t="s">
        <v>1032</v>
      </c>
      <c r="B9" s="375" t="s">
        <v>44</v>
      </c>
      <c r="C9" s="376" t="s">
        <v>59</v>
      </c>
      <c r="D9" s="376" t="s">
        <v>1018</v>
      </c>
      <c r="E9" s="377" t="s">
        <v>34</v>
      </c>
      <c r="F9" s="378" t="s">
        <v>19</v>
      </c>
      <c r="G9" s="509">
        <v>70</v>
      </c>
      <c r="H9" s="374" t="s">
        <v>46</v>
      </c>
    </row>
    <row r="10" spans="1:8">
      <c r="A10" s="369" t="s">
        <v>1032</v>
      </c>
      <c r="B10" s="375" t="s">
        <v>44</v>
      </c>
      <c r="C10" s="376" t="s">
        <v>60</v>
      </c>
      <c r="D10" s="376" t="s">
        <v>61</v>
      </c>
      <c r="E10" s="377" t="s">
        <v>36</v>
      </c>
      <c r="F10" s="378" t="s">
        <v>19</v>
      </c>
      <c r="G10" s="509">
        <v>80</v>
      </c>
      <c r="H10" s="374" t="s">
        <v>46</v>
      </c>
    </row>
    <row r="11" spans="1:8">
      <c r="A11" s="369" t="s">
        <v>1032</v>
      </c>
      <c r="B11" s="375" t="s">
        <v>44</v>
      </c>
      <c r="C11" s="376" t="s">
        <v>62</v>
      </c>
      <c r="D11" s="376" t="s">
        <v>926</v>
      </c>
      <c r="E11" s="377" t="s">
        <v>38</v>
      </c>
      <c r="F11" s="378" t="s">
        <v>19</v>
      </c>
      <c r="G11" s="509">
        <v>95</v>
      </c>
      <c r="H11" s="374" t="s">
        <v>46</v>
      </c>
    </row>
    <row r="12" spans="1:8">
      <c r="A12" s="369" t="s">
        <v>1032</v>
      </c>
      <c r="B12" s="375" t="s">
        <v>44</v>
      </c>
      <c r="C12" s="376" t="s">
        <v>63</v>
      </c>
      <c r="D12" s="376" t="s">
        <v>64</v>
      </c>
      <c r="E12" s="377" t="s">
        <v>65</v>
      </c>
      <c r="F12" s="378" t="s">
        <v>19</v>
      </c>
      <c r="G12" s="509">
        <v>110</v>
      </c>
      <c r="H12" s="374" t="s">
        <v>46</v>
      </c>
    </row>
    <row r="13" spans="1:8">
      <c r="A13" s="369" t="s">
        <v>1032</v>
      </c>
      <c r="B13" s="375" t="s">
        <v>44</v>
      </c>
      <c r="C13" s="376" t="s">
        <v>66</v>
      </c>
      <c r="D13" s="376" t="s">
        <v>67</v>
      </c>
      <c r="E13" s="377" t="s">
        <v>68</v>
      </c>
      <c r="F13" s="378" t="s">
        <v>19</v>
      </c>
      <c r="G13" s="509">
        <v>120</v>
      </c>
      <c r="H13" s="374" t="s">
        <v>46</v>
      </c>
    </row>
    <row r="14" spans="1:8">
      <c r="A14" s="369" t="s">
        <v>1032</v>
      </c>
      <c r="B14" s="379"/>
      <c r="C14" s="380"/>
      <c r="D14" s="380"/>
      <c r="E14" s="381"/>
      <c r="F14" s="380"/>
      <c r="G14" s="382"/>
      <c r="H14" s="374"/>
    </row>
    <row r="15" spans="1:8">
      <c r="A15" s="369" t="s">
        <v>1032</v>
      </c>
      <c r="B15" s="383" t="s">
        <v>1098</v>
      </c>
      <c r="C15" s="384" t="s">
        <v>47</v>
      </c>
      <c r="D15" s="385" t="s">
        <v>285</v>
      </c>
      <c r="E15" s="386"/>
      <c r="F15" s="378" t="s">
        <v>19</v>
      </c>
      <c r="G15" s="510">
        <v>31</v>
      </c>
      <c r="H15" s="374" t="s">
        <v>20</v>
      </c>
    </row>
    <row r="16" spans="1:8">
      <c r="A16" s="369" t="s">
        <v>1032</v>
      </c>
      <c r="B16" s="383" t="s">
        <v>1098</v>
      </c>
      <c r="C16" s="384" t="s">
        <v>47</v>
      </c>
      <c r="D16" s="385" t="s">
        <v>21</v>
      </c>
      <c r="E16" s="386"/>
      <c r="F16" s="378" t="s">
        <v>19</v>
      </c>
      <c r="G16" s="510">
        <v>32</v>
      </c>
      <c r="H16" s="374" t="s">
        <v>20</v>
      </c>
    </row>
    <row r="17" spans="1:8">
      <c r="A17" s="369" t="s">
        <v>1032</v>
      </c>
      <c r="B17" s="383" t="s">
        <v>1098</v>
      </c>
      <c r="C17" s="387" t="s">
        <v>49</v>
      </c>
      <c r="D17" s="235" t="s">
        <v>23</v>
      </c>
      <c r="E17" s="388"/>
      <c r="F17" s="378" t="s">
        <v>19</v>
      </c>
      <c r="G17" s="510">
        <v>33</v>
      </c>
      <c r="H17" s="374" t="s">
        <v>20</v>
      </c>
    </row>
    <row r="18" spans="1:8">
      <c r="A18" s="369" t="s">
        <v>1032</v>
      </c>
      <c r="B18" s="383" t="s">
        <v>1098</v>
      </c>
      <c r="C18" s="384" t="s">
        <v>51</v>
      </c>
      <c r="D18" s="385" t="s">
        <v>25</v>
      </c>
      <c r="E18" s="386"/>
      <c r="F18" s="378" t="s">
        <v>19</v>
      </c>
      <c r="G18" s="510">
        <v>36</v>
      </c>
      <c r="H18" s="374" t="s">
        <v>20</v>
      </c>
    </row>
    <row r="19" spans="1:8">
      <c r="A19" s="369" t="s">
        <v>1032</v>
      </c>
      <c r="B19" s="383" t="s">
        <v>1098</v>
      </c>
      <c r="C19" s="384" t="s">
        <v>53</v>
      </c>
      <c r="D19" s="385" t="s">
        <v>27</v>
      </c>
      <c r="E19" s="386"/>
      <c r="F19" s="378" t="s">
        <v>19</v>
      </c>
      <c r="G19" s="510">
        <v>40</v>
      </c>
      <c r="H19" s="374" t="s">
        <v>20</v>
      </c>
    </row>
    <row r="20" spans="1:8">
      <c r="A20" s="369" t="s">
        <v>1032</v>
      </c>
      <c r="B20" s="383" t="s">
        <v>1098</v>
      </c>
      <c r="C20" s="384" t="s">
        <v>55</v>
      </c>
      <c r="D20" s="385" t="s">
        <v>29</v>
      </c>
      <c r="E20" s="386"/>
      <c r="F20" s="378" t="s">
        <v>19</v>
      </c>
      <c r="G20" s="510">
        <v>45</v>
      </c>
      <c r="H20" s="374" t="s">
        <v>20</v>
      </c>
    </row>
    <row r="21" spans="1:8">
      <c r="A21" s="369" t="s">
        <v>1032</v>
      </c>
      <c r="B21" s="383" t="s">
        <v>1098</v>
      </c>
      <c r="C21" s="384" t="s">
        <v>57</v>
      </c>
      <c r="D21" s="385" t="s">
        <v>376</v>
      </c>
      <c r="E21" s="386"/>
      <c r="F21" s="378" t="s">
        <v>19</v>
      </c>
      <c r="G21" s="510">
        <v>48</v>
      </c>
      <c r="H21" s="374" t="s">
        <v>20</v>
      </c>
    </row>
    <row r="22" spans="1:8">
      <c r="A22" s="369" t="s">
        <v>1032</v>
      </c>
      <c r="B22" s="383" t="s">
        <v>1098</v>
      </c>
      <c r="C22" s="384" t="s">
        <v>59</v>
      </c>
      <c r="D22" s="385" t="s">
        <v>357</v>
      </c>
      <c r="E22" s="386"/>
      <c r="F22" s="378" t="s">
        <v>19</v>
      </c>
      <c r="G22" s="510">
        <v>55</v>
      </c>
      <c r="H22" s="374" t="s">
        <v>20</v>
      </c>
    </row>
    <row r="23" spans="1:8">
      <c r="A23" s="369" t="s">
        <v>1032</v>
      </c>
      <c r="B23" s="383" t="s">
        <v>1098</v>
      </c>
      <c r="C23" s="384" t="s">
        <v>60</v>
      </c>
      <c r="D23" s="385" t="s">
        <v>377</v>
      </c>
      <c r="E23" s="386"/>
      <c r="F23" s="378" t="s">
        <v>19</v>
      </c>
      <c r="G23" s="510">
        <v>61</v>
      </c>
      <c r="H23" s="374" t="s">
        <v>20</v>
      </c>
    </row>
    <row r="24" spans="1:8">
      <c r="A24" s="369" t="s">
        <v>1032</v>
      </c>
      <c r="B24" s="383" t="s">
        <v>1098</v>
      </c>
      <c r="C24" s="384" t="s">
        <v>62</v>
      </c>
      <c r="D24" s="385" t="s">
        <v>326</v>
      </c>
      <c r="E24" s="386"/>
      <c r="F24" s="378" t="s">
        <v>19</v>
      </c>
      <c r="G24" s="510">
        <v>66</v>
      </c>
      <c r="H24" s="374" t="s">
        <v>20</v>
      </c>
    </row>
    <row r="25" spans="1:8">
      <c r="A25" s="369" t="s">
        <v>1032</v>
      </c>
      <c r="B25" s="379"/>
      <c r="C25" s="380"/>
      <c r="D25" s="380"/>
      <c r="E25" s="381"/>
      <c r="F25" s="380"/>
      <c r="G25" s="382"/>
      <c r="H25" s="374"/>
    </row>
    <row r="26" spans="1:8">
      <c r="A26" s="369" t="s">
        <v>1032</v>
      </c>
      <c r="B26" s="375" t="s">
        <v>385</v>
      </c>
      <c r="C26" s="384" t="s">
        <v>285</v>
      </c>
      <c r="D26" s="42" t="s">
        <v>47</v>
      </c>
      <c r="E26" s="388"/>
      <c r="F26" s="378" t="s">
        <v>19</v>
      </c>
      <c r="G26" s="510">
        <v>31</v>
      </c>
      <c r="H26" s="374" t="s">
        <v>20</v>
      </c>
    </row>
    <row r="27" spans="1:8">
      <c r="A27" s="369" t="s">
        <v>1032</v>
      </c>
      <c r="B27" s="375" t="s">
        <v>385</v>
      </c>
      <c r="C27" s="384" t="s">
        <v>21</v>
      </c>
      <c r="D27" s="42" t="s">
        <v>47</v>
      </c>
      <c r="E27" s="388"/>
      <c r="F27" s="378" t="s">
        <v>19</v>
      </c>
      <c r="G27" s="510">
        <v>32</v>
      </c>
      <c r="H27" s="374" t="s">
        <v>20</v>
      </c>
    </row>
    <row r="28" spans="1:8">
      <c r="A28" s="369" t="s">
        <v>1032</v>
      </c>
      <c r="B28" s="375" t="s">
        <v>385</v>
      </c>
      <c r="C28" s="387" t="s">
        <v>23</v>
      </c>
      <c r="D28" s="42" t="s">
        <v>49</v>
      </c>
      <c r="E28" s="388"/>
      <c r="F28" s="378" t="s">
        <v>19</v>
      </c>
      <c r="G28" s="510">
        <v>36</v>
      </c>
      <c r="H28" s="374" t="s">
        <v>20</v>
      </c>
    </row>
    <row r="29" spans="1:8">
      <c r="A29" s="369" t="s">
        <v>1032</v>
      </c>
      <c r="B29" s="375" t="s">
        <v>385</v>
      </c>
      <c r="C29" s="384" t="s">
        <v>25</v>
      </c>
      <c r="D29" s="42" t="s">
        <v>51</v>
      </c>
      <c r="E29" s="388"/>
      <c r="F29" s="378" t="s">
        <v>19</v>
      </c>
      <c r="G29" s="510">
        <v>43</v>
      </c>
      <c r="H29" s="374" t="s">
        <v>20</v>
      </c>
    </row>
    <row r="30" spans="1:8">
      <c r="A30" s="369" t="s">
        <v>1032</v>
      </c>
      <c r="B30" s="375" t="s">
        <v>385</v>
      </c>
      <c r="C30" s="384" t="s">
        <v>27</v>
      </c>
      <c r="D30" s="42" t="s">
        <v>53</v>
      </c>
      <c r="E30" s="388"/>
      <c r="F30" s="378" t="s">
        <v>19</v>
      </c>
      <c r="G30" s="510">
        <v>57</v>
      </c>
      <c r="H30" s="374" t="s">
        <v>20</v>
      </c>
    </row>
    <row r="31" spans="1:8">
      <c r="A31" s="369" t="s">
        <v>1032</v>
      </c>
      <c r="B31" s="375" t="s">
        <v>385</v>
      </c>
      <c r="C31" s="384" t="s">
        <v>29</v>
      </c>
      <c r="D31" s="42" t="s">
        <v>55</v>
      </c>
      <c r="E31" s="388"/>
      <c r="F31" s="378" t="s">
        <v>19</v>
      </c>
      <c r="G31" s="510">
        <v>64</v>
      </c>
      <c r="H31" s="374" t="s">
        <v>20</v>
      </c>
    </row>
    <row r="32" spans="1:8">
      <c r="A32" s="369" t="s">
        <v>1032</v>
      </c>
      <c r="B32" s="375" t="s">
        <v>385</v>
      </c>
      <c r="C32" s="384" t="s">
        <v>376</v>
      </c>
      <c r="D32" s="42" t="s">
        <v>57</v>
      </c>
      <c r="E32" s="388"/>
      <c r="F32" s="378" t="s">
        <v>19</v>
      </c>
      <c r="G32" s="510">
        <v>68</v>
      </c>
      <c r="H32" s="374" t="s">
        <v>20</v>
      </c>
    </row>
    <row r="33" spans="1:8">
      <c r="A33" s="369" t="s">
        <v>1032</v>
      </c>
      <c r="B33" s="375" t="s">
        <v>385</v>
      </c>
      <c r="C33" s="384" t="s">
        <v>357</v>
      </c>
      <c r="D33" s="42" t="s">
        <v>59</v>
      </c>
      <c r="E33" s="388"/>
      <c r="F33" s="378" t="s">
        <v>19</v>
      </c>
      <c r="G33" s="510">
        <v>72</v>
      </c>
      <c r="H33" s="374" t="s">
        <v>20</v>
      </c>
    </row>
    <row r="34" spans="1:8">
      <c r="A34" s="369" t="s">
        <v>1032</v>
      </c>
      <c r="B34" s="375" t="s">
        <v>385</v>
      </c>
      <c r="C34" s="384" t="s">
        <v>377</v>
      </c>
      <c r="D34" s="384" t="s">
        <v>60</v>
      </c>
      <c r="E34" s="386"/>
      <c r="F34" s="378" t="s">
        <v>19</v>
      </c>
      <c r="G34" s="510">
        <v>74</v>
      </c>
      <c r="H34" s="374" t="s">
        <v>20</v>
      </c>
    </row>
    <row r="35" spans="1:8">
      <c r="A35" s="369" t="s">
        <v>1032</v>
      </c>
      <c r="B35" s="375" t="s">
        <v>385</v>
      </c>
      <c r="C35" s="384" t="s">
        <v>326</v>
      </c>
      <c r="D35" s="384" t="s">
        <v>62</v>
      </c>
      <c r="E35" s="386"/>
      <c r="F35" s="378" t="s">
        <v>19</v>
      </c>
      <c r="G35" s="510">
        <v>79</v>
      </c>
      <c r="H35" s="374" t="s">
        <v>20</v>
      </c>
    </row>
    <row r="36" spans="1:8">
      <c r="A36" s="369" t="s">
        <v>1032</v>
      </c>
      <c r="B36" s="389"/>
      <c r="C36" s="390"/>
      <c r="D36" s="390"/>
      <c r="E36" s="391"/>
      <c r="F36" s="390"/>
      <c r="G36" s="392"/>
      <c r="H36" s="374"/>
    </row>
    <row r="37" spans="1:8">
      <c r="A37" s="369" t="s">
        <v>1032</v>
      </c>
      <c r="B37" s="375" t="s">
        <v>77</v>
      </c>
      <c r="C37" s="42" t="s">
        <v>94</v>
      </c>
      <c r="D37" s="42" t="s">
        <v>79</v>
      </c>
      <c r="E37" s="388" t="s">
        <v>18</v>
      </c>
      <c r="F37" s="378" t="s">
        <v>19</v>
      </c>
      <c r="G37" s="510">
        <v>41</v>
      </c>
      <c r="H37" s="374" t="s">
        <v>46</v>
      </c>
    </row>
    <row r="38" spans="1:8">
      <c r="A38" s="369" t="s">
        <v>1032</v>
      </c>
      <c r="B38" s="375" t="s">
        <v>77</v>
      </c>
      <c r="C38" s="42" t="s">
        <v>47</v>
      </c>
      <c r="D38" s="42" t="s">
        <v>80</v>
      </c>
      <c r="E38" s="388" t="s">
        <v>22</v>
      </c>
      <c r="F38" s="378" t="s">
        <v>19</v>
      </c>
      <c r="G38" s="510">
        <v>46</v>
      </c>
      <c r="H38" s="374" t="s">
        <v>46</v>
      </c>
    </row>
    <row r="39" spans="1:8">
      <c r="A39" s="369" t="s">
        <v>1032</v>
      </c>
      <c r="B39" s="375" t="s">
        <v>77</v>
      </c>
      <c r="C39" s="42" t="s">
        <v>49</v>
      </c>
      <c r="D39" s="42" t="s">
        <v>81</v>
      </c>
      <c r="E39" s="388" t="s">
        <v>24</v>
      </c>
      <c r="F39" s="378" t="s">
        <v>19</v>
      </c>
      <c r="G39" s="510">
        <v>52</v>
      </c>
      <c r="H39" s="374" t="s">
        <v>46</v>
      </c>
    </row>
    <row r="40" spans="1:8">
      <c r="A40" s="369" t="s">
        <v>1032</v>
      </c>
      <c r="B40" s="375" t="s">
        <v>77</v>
      </c>
      <c r="C40" s="42" t="s">
        <v>51</v>
      </c>
      <c r="D40" s="42" t="s">
        <v>82</v>
      </c>
      <c r="E40" s="388">
        <v>1</v>
      </c>
      <c r="F40" s="378" t="s">
        <v>19</v>
      </c>
      <c r="G40" s="510">
        <v>65</v>
      </c>
      <c r="H40" s="374" t="s">
        <v>46</v>
      </c>
    </row>
    <row r="41" spans="1:8">
      <c r="A41" s="369" t="s">
        <v>1032</v>
      </c>
      <c r="B41" s="375" t="s">
        <v>77</v>
      </c>
      <c r="C41" s="42" t="s">
        <v>53</v>
      </c>
      <c r="D41" s="42" t="s">
        <v>83</v>
      </c>
      <c r="E41" s="388">
        <v>1.25</v>
      </c>
      <c r="F41" s="378" t="s">
        <v>19</v>
      </c>
      <c r="G41" s="510">
        <v>72</v>
      </c>
      <c r="H41" s="374" t="s">
        <v>46</v>
      </c>
    </row>
    <row r="42" spans="1:8">
      <c r="A42" s="369" t="s">
        <v>1032</v>
      </c>
      <c r="B42" s="375" t="s">
        <v>77</v>
      </c>
      <c r="C42" s="42" t="s">
        <v>55</v>
      </c>
      <c r="D42" s="42" t="s">
        <v>84</v>
      </c>
      <c r="E42" s="388">
        <v>1.5</v>
      </c>
      <c r="F42" s="378" t="s">
        <v>19</v>
      </c>
      <c r="G42" s="510">
        <v>80</v>
      </c>
      <c r="H42" s="374" t="s">
        <v>46</v>
      </c>
    </row>
    <row r="43" spans="1:8">
      <c r="A43" s="369" t="s">
        <v>1032</v>
      </c>
      <c r="B43" s="375" t="s">
        <v>77</v>
      </c>
      <c r="C43" s="42" t="s">
        <v>57</v>
      </c>
      <c r="D43" s="42" t="s">
        <v>56</v>
      </c>
      <c r="E43" s="388">
        <v>2</v>
      </c>
      <c r="F43" s="378" t="s">
        <v>19</v>
      </c>
      <c r="G43" s="510">
        <v>82</v>
      </c>
      <c r="H43" s="374" t="s">
        <v>46</v>
      </c>
    </row>
    <row r="44" spans="1:8" ht="22.5">
      <c r="A44" s="369" t="s">
        <v>1032</v>
      </c>
      <c r="B44" s="375" t="s">
        <v>77</v>
      </c>
      <c r="C44" s="42" t="s">
        <v>59</v>
      </c>
      <c r="D44" s="42" t="s">
        <v>922</v>
      </c>
      <c r="E44" s="388">
        <v>2.5</v>
      </c>
      <c r="F44" s="378" t="s">
        <v>19</v>
      </c>
      <c r="G44" s="510">
        <v>93</v>
      </c>
      <c r="H44" s="374" t="s">
        <v>46</v>
      </c>
    </row>
    <row r="45" spans="1:8">
      <c r="A45" s="369" t="s">
        <v>1032</v>
      </c>
      <c r="B45" s="375" t="s">
        <v>77</v>
      </c>
      <c r="C45" s="384" t="s">
        <v>60</v>
      </c>
      <c r="D45" s="384" t="s">
        <v>61</v>
      </c>
      <c r="E45" s="386">
        <v>3</v>
      </c>
      <c r="F45" s="378" t="s">
        <v>19</v>
      </c>
      <c r="G45" s="510">
        <v>105</v>
      </c>
      <c r="H45" s="374" t="s">
        <v>46</v>
      </c>
    </row>
    <row r="46" spans="1:8">
      <c r="A46" s="369" t="s">
        <v>1032</v>
      </c>
      <c r="B46" s="375" t="s">
        <v>77</v>
      </c>
      <c r="C46" s="384" t="s">
        <v>62</v>
      </c>
      <c r="D46" s="384" t="s">
        <v>926</v>
      </c>
      <c r="E46" s="386">
        <v>4</v>
      </c>
      <c r="F46" s="378" t="s">
        <v>19</v>
      </c>
      <c r="G46" s="510">
        <v>120</v>
      </c>
      <c r="H46" s="374" t="s">
        <v>46</v>
      </c>
    </row>
    <row r="47" spans="1:8">
      <c r="A47" s="369" t="s">
        <v>1032</v>
      </c>
      <c r="B47" s="375" t="s">
        <v>77</v>
      </c>
      <c r="C47" s="384" t="s">
        <v>63</v>
      </c>
      <c r="D47" s="384">
        <v>133</v>
      </c>
      <c r="E47" s="386">
        <v>5</v>
      </c>
      <c r="F47" s="378" t="s">
        <v>19</v>
      </c>
      <c r="G47" s="510">
        <v>150</v>
      </c>
      <c r="H47" s="374" t="s">
        <v>46</v>
      </c>
    </row>
    <row r="48" spans="1:8">
      <c r="A48" s="369" t="s">
        <v>1032</v>
      </c>
      <c r="B48" s="375" t="s">
        <v>77</v>
      </c>
      <c r="C48" s="384" t="s">
        <v>66</v>
      </c>
      <c r="D48" s="384">
        <v>168</v>
      </c>
      <c r="E48" s="386">
        <v>6</v>
      </c>
      <c r="F48" s="378" t="s">
        <v>19</v>
      </c>
      <c r="G48" s="510">
        <v>180</v>
      </c>
      <c r="H48" s="374" t="s">
        <v>46</v>
      </c>
    </row>
    <row r="49" spans="1:8">
      <c r="A49" s="369" t="s">
        <v>1032</v>
      </c>
      <c r="B49" s="511"/>
      <c r="C49" s="512"/>
      <c r="D49" s="512"/>
      <c r="E49" s="513"/>
      <c r="F49" s="512"/>
      <c r="G49" s="514"/>
      <c r="H49" s="374"/>
    </row>
    <row r="50" spans="1:8">
      <c r="A50" s="369" t="s">
        <v>1032</v>
      </c>
      <c r="B50" s="375" t="s">
        <v>1099</v>
      </c>
      <c r="C50" s="384" t="s">
        <v>47</v>
      </c>
      <c r="D50" s="42" t="s">
        <v>21</v>
      </c>
      <c r="E50" s="388"/>
      <c r="F50" s="378" t="s">
        <v>19</v>
      </c>
      <c r="G50" s="510">
        <v>20</v>
      </c>
      <c r="H50" s="374" t="s">
        <v>20</v>
      </c>
    </row>
    <row r="51" spans="1:8">
      <c r="A51" s="369" t="s">
        <v>1032</v>
      </c>
      <c r="B51" s="375" t="s">
        <v>1099</v>
      </c>
      <c r="C51" s="387" t="s">
        <v>49</v>
      </c>
      <c r="D51" s="42" t="s">
        <v>23</v>
      </c>
      <c r="E51" s="388"/>
      <c r="F51" s="378" t="s">
        <v>19</v>
      </c>
      <c r="G51" s="510">
        <v>21</v>
      </c>
      <c r="H51" s="374" t="s">
        <v>20</v>
      </c>
    </row>
    <row r="52" spans="1:8">
      <c r="A52" s="369" t="s">
        <v>1032</v>
      </c>
      <c r="B52" s="375" t="s">
        <v>1099</v>
      </c>
      <c r="C52" s="384" t="s">
        <v>51</v>
      </c>
      <c r="D52" s="42" t="s">
        <v>25</v>
      </c>
      <c r="E52" s="388"/>
      <c r="F52" s="378" t="s">
        <v>19</v>
      </c>
      <c r="G52" s="510">
        <v>23</v>
      </c>
      <c r="H52" s="374" t="s">
        <v>20</v>
      </c>
    </row>
    <row r="53" spans="1:8">
      <c r="A53" s="369" t="s">
        <v>1032</v>
      </c>
      <c r="B53" s="375" t="s">
        <v>1099</v>
      </c>
      <c r="C53" s="384" t="s">
        <v>53</v>
      </c>
      <c r="D53" s="42" t="s">
        <v>27</v>
      </c>
      <c r="E53" s="388"/>
      <c r="F53" s="378" t="s">
        <v>19</v>
      </c>
      <c r="G53" s="510">
        <v>26</v>
      </c>
      <c r="H53" s="374" t="s">
        <v>20</v>
      </c>
    </row>
    <row r="54" spans="1:8">
      <c r="A54" s="369" t="s">
        <v>1032</v>
      </c>
      <c r="B54" s="375" t="s">
        <v>1099</v>
      </c>
      <c r="C54" s="384" t="s">
        <v>55</v>
      </c>
      <c r="D54" s="42" t="s">
        <v>29</v>
      </c>
      <c r="E54" s="388"/>
      <c r="F54" s="378" t="s">
        <v>19</v>
      </c>
      <c r="G54" s="510">
        <v>33</v>
      </c>
      <c r="H54" s="374" t="s">
        <v>20</v>
      </c>
    </row>
    <row r="55" spans="1:8">
      <c r="A55" s="369" t="s">
        <v>1032</v>
      </c>
      <c r="B55" s="379"/>
      <c r="C55" s="380"/>
      <c r="D55" s="380"/>
      <c r="E55" s="381"/>
      <c r="F55" s="380"/>
      <c r="G55" s="382"/>
      <c r="H55" s="374"/>
    </row>
    <row r="56" spans="1:8" ht="22.5">
      <c r="A56" s="369" t="s">
        <v>1032</v>
      </c>
      <c r="B56" s="375" t="s">
        <v>1100</v>
      </c>
      <c r="C56" s="42"/>
      <c r="D56" s="42" t="s">
        <v>27</v>
      </c>
      <c r="E56" s="388"/>
      <c r="F56" s="378" t="s">
        <v>19</v>
      </c>
      <c r="G56" s="510">
        <v>27</v>
      </c>
      <c r="H56" s="374" t="s">
        <v>1101</v>
      </c>
    </row>
    <row r="57" spans="1:8" ht="22.5">
      <c r="A57" s="369" t="s">
        <v>1032</v>
      </c>
      <c r="B57" s="375" t="s">
        <v>1100</v>
      </c>
      <c r="C57" s="42" t="s">
        <v>57</v>
      </c>
      <c r="D57" s="42" t="s">
        <v>29</v>
      </c>
      <c r="E57" s="388"/>
      <c r="F57" s="378" t="s">
        <v>19</v>
      </c>
      <c r="G57" s="510">
        <v>32</v>
      </c>
      <c r="H57" s="374" t="s">
        <v>1101</v>
      </c>
    </row>
    <row r="58" spans="1:8" ht="22.5">
      <c r="A58" s="369" t="s">
        <v>1032</v>
      </c>
      <c r="B58" s="375" t="s">
        <v>1100</v>
      </c>
      <c r="C58" s="384" t="s">
        <v>347</v>
      </c>
      <c r="D58" s="42" t="s">
        <v>357</v>
      </c>
      <c r="E58" s="388"/>
      <c r="F58" s="378" t="s">
        <v>19</v>
      </c>
      <c r="G58" s="510">
        <v>36</v>
      </c>
      <c r="H58" s="374" t="s">
        <v>1101</v>
      </c>
    </row>
    <row r="59" spans="1:8" ht="22.5">
      <c r="A59" s="369" t="s">
        <v>1032</v>
      </c>
      <c r="B59" s="375" t="s">
        <v>1100</v>
      </c>
      <c r="C59" s="384" t="s">
        <v>60</v>
      </c>
      <c r="D59" s="42" t="s">
        <v>377</v>
      </c>
      <c r="E59" s="388"/>
      <c r="F59" s="378" t="s">
        <v>19</v>
      </c>
      <c r="G59" s="510">
        <v>40</v>
      </c>
      <c r="H59" s="374" t="s">
        <v>1101</v>
      </c>
    </row>
    <row r="60" spans="1:8" ht="22.5">
      <c r="A60" s="369" t="s">
        <v>1032</v>
      </c>
      <c r="B60" s="375" t="s">
        <v>1100</v>
      </c>
      <c r="C60" s="384" t="s">
        <v>62</v>
      </c>
      <c r="D60" s="42" t="s">
        <v>326</v>
      </c>
      <c r="E60" s="388"/>
      <c r="F60" s="378" t="s">
        <v>19</v>
      </c>
      <c r="G60" s="510">
        <v>45</v>
      </c>
      <c r="H60" s="374" t="s">
        <v>1101</v>
      </c>
    </row>
    <row r="61" spans="1:8" ht="22.5">
      <c r="A61" s="369" t="s">
        <v>1032</v>
      </c>
      <c r="B61" s="375" t="s">
        <v>1100</v>
      </c>
      <c r="C61" s="384" t="s">
        <v>63</v>
      </c>
      <c r="D61" s="42" t="s">
        <v>358</v>
      </c>
      <c r="E61" s="388"/>
      <c r="F61" s="378" t="s">
        <v>19</v>
      </c>
      <c r="G61" s="510">
        <v>49</v>
      </c>
      <c r="H61" s="374" t="s">
        <v>1101</v>
      </c>
    </row>
    <row r="62" spans="1:8" ht="22.5">
      <c r="A62" s="369" t="s">
        <v>1032</v>
      </c>
      <c r="B62" s="375" t="s">
        <v>1100</v>
      </c>
      <c r="C62" s="384" t="s">
        <v>66</v>
      </c>
      <c r="D62" s="42" t="s">
        <v>120</v>
      </c>
      <c r="E62" s="388"/>
      <c r="F62" s="378" t="s">
        <v>19</v>
      </c>
      <c r="G62" s="510">
        <v>54</v>
      </c>
      <c r="H62" s="374" t="s">
        <v>1101</v>
      </c>
    </row>
    <row r="63" spans="1:8" ht="22.5">
      <c r="A63" s="369" t="s">
        <v>1032</v>
      </c>
      <c r="B63" s="375" t="s">
        <v>1100</v>
      </c>
      <c r="C63" s="384" t="s">
        <v>121</v>
      </c>
      <c r="D63" s="42" t="s">
        <v>154</v>
      </c>
      <c r="E63" s="388"/>
      <c r="F63" s="378" t="s">
        <v>19</v>
      </c>
      <c r="G63" s="510">
        <v>72</v>
      </c>
      <c r="H63" s="374" t="s">
        <v>1101</v>
      </c>
    </row>
    <row r="64" spans="1:8" ht="22.5">
      <c r="A64" s="369" t="s">
        <v>1032</v>
      </c>
      <c r="B64" s="375" t="s">
        <v>1100</v>
      </c>
      <c r="C64" s="384" t="s">
        <v>122</v>
      </c>
      <c r="D64" s="42" t="s">
        <v>155</v>
      </c>
      <c r="E64" s="388"/>
      <c r="F64" s="378" t="s">
        <v>19</v>
      </c>
      <c r="G64" s="510">
        <v>81</v>
      </c>
      <c r="H64" s="374" t="s">
        <v>1101</v>
      </c>
    </row>
    <row r="65" spans="1:8" ht="22.5">
      <c r="A65" s="369" t="s">
        <v>1032</v>
      </c>
      <c r="B65" s="375" t="s">
        <v>1100</v>
      </c>
      <c r="C65" s="384" t="s">
        <v>156</v>
      </c>
      <c r="D65" s="42" t="s">
        <v>361</v>
      </c>
      <c r="E65" s="388"/>
      <c r="F65" s="378" t="s">
        <v>19</v>
      </c>
      <c r="G65" s="510">
        <v>91</v>
      </c>
      <c r="H65" s="374" t="s">
        <v>1101</v>
      </c>
    </row>
    <row r="66" spans="1:8">
      <c r="A66" s="369" t="s">
        <v>1032</v>
      </c>
      <c r="B66" s="379"/>
      <c r="C66" s="380"/>
      <c r="D66" s="380"/>
      <c r="E66" s="381"/>
      <c r="F66" s="380"/>
      <c r="G66" s="382"/>
      <c r="H66" s="374"/>
    </row>
    <row r="67" spans="1:8">
      <c r="A67" s="369" t="s">
        <v>1032</v>
      </c>
      <c r="B67" s="375" t="s">
        <v>360</v>
      </c>
      <c r="C67" s="384"/>
      <c r="D67" s="42" t="s">
        <v>29</v>
      </c>
      <c r="E67" s="388"/>
      <c r="F67" s="378" t="s">
        <v>19</v>
      </c>
      <c r="G67" s="510">
        <f>G57+300</f>
        <v>332</v>
      </c>
      <c r="H67" s="374" t="s">
        <v>1101</v>
      </c>
    </row>
    <row r="68" spans="1:8">
      <c r="A68" s="369" t="s">
        <v>1032</v>
      </c>
      <c r="B68" s="375" t="s">
        <v>360</v>
      </c>
      <c r="C68" s="384"/>
      <c r="D68" s="42" t="s">
        <v>357</v>
      </c>
      <c r="E68" s="388"/>
      <c r="F68" s="378" t="s">
        <v>19</v>
      </c>
      <c r="G68" s="510">
        <f>G58+300</f>
        <v>336</v>
      </c>
      <c r="H68" s="374" t="s">
        <v>1101</v>
      </c>
    </row>
    <row r="69" spans="1:8">
      <c r="A69" s="369" t="s">
        <v>1032</v>
      </c>
      <c r="B69" s="375" t="s">
        <v>360</v>
      </c>
      <c r="C69" s="384"/>
      <c r="D69" s="42" t="s">
        <v>326</v>
      </c>
      <c r="E69" s="388"/>
      <c r="F69" s="378" t="s">
        <v>19</v>
      </c>
      <c r="G69" s="510">
        <f>G60+300</f>
        <v>345</v>
      </c>
      <c r="H69" s="374" t="s">
        <v>1101</v>
      </c>
    </row>
    <row r="70" spans="1:8">
      <c r="A70" s="369" t="s">
        <v>1032</v>
      </c>
      <c r="B70" s="375" t="s">
        <v>360</v>
      </c>
      <c r="C70" s="384"/>
      <c r="D70" s="42" t="s">
        <v>120</v>
      </c>
      <c r="E70" s="388"/>
      <c r="F70" s="378" t="s">
        <v>19</v>
      </c>
      <c r="G70" s="510">
        <f>G62+300</f>
        <v>354</v>
      </c>
      <c r="H70" s="374" t="s">
        <v>1101</v>
      </c>
    </row>
    <row r="71" spans="1:8">
      <c r="A71" s="369" t="s">
        <v>1032</v>
      </c>
      <c r="B71" s="375" t="s">
        <v>360</v>
      </c>
      <c r="C71" s="384"/>
      <c r="D71" s="42" t="s">
        <v>154</v>
      </c>
      <c r="E71" s="388"/>
      <c r="F71" s="378" t="s">
        <v>19</v>
      </c>
      <c r="G71" s="510">
        <f>G63+300</f>
        <v>372</v>
      </c>
      <c r="H71" s="374" t="s">
        <v>1101</v>
      </c>
    </row>
    <row r="72" spans="1:8">
      <c r="A72" s="369" t="s">
        <v>1032</v>
      </c>
      <c r="B72" s="375" t="s">
        <v>360</v>
      </c>
      <c r="C72" s="384"/>
      <c r="D72" s="42" t="s">
        <v>155</v>
      </c>
      <c r="E72" s="388"/>
      <c r="F72" s="378" t="s">
        <v>19</v>
      </c>
      <c r="G72" s="510">
        <f>G64+300</f>
        <v>381</v>
      </c>
      <c r="H72" s="374" t="s">
        <v>1101</v>
      </c>
    </row>
    <row r="73" spans="1:8">
      <c r="A73" s="369" t="s">
        <v>1032</v>
      </c>
      <c r="B73" s="375" t="s">
        <v>360</v>
      </c>
      <c r="C73" s="384"/>
      <c r="D73" s="42" t="s">
        <v>361</v>
      </c>
      <c r="E73" s="388"/>
      <c r="F73" s="378" t="s">
        <v>19</v>
      </c>
      <c r="G73" s="510">
        <f>G65+300</f>
        <v>391</v>
      </c>
      <c r="H73" s="374" t="s">
        <v>1101</v>
      </c>
    </row>
    <row r="74" spans="1:8">
      <c r="A74" s="369" t="s">
        <v>1032</v>
      </c>
      <c r="B74" s="375" t="s">
        <v>360</v>
      </c>
      <c r="C74" s="384"/>
      <c r="D74" s="42"/>
      <c r="E74" s="388"/>
      <c r="F74" s="378"/>
      <c r="G74" s="510"/>
      <c r="H74" s="374"/>
    </row>
    <row r="75" spans="1:8">
      <c r="A75" s="369" t="s">
        <v>1032</v>
      </c>
      <c r="B75" s="375" t="s">
        <v>360</v>
      </c>
      <c r="C75" s="384"/>
      <c r="D75" s="42"/>
      <c r="E75" s="388"/>
      <c r="F75" s="378"/>
      <c r="G75" s="510"/>
      <c r="H75" s="374"/>
    </row>
    <row r="76" spans="1:8">
      <c r="A76" s="393" t="s">
        <v>1032</v>
      </c>
      <c r="B76" s="379"/>
      <c r="C76" s="380"/>
      <c r="D76" s="380"/>
      <c r="E76" s="381"/>
      <c r="F76" s="380"/>
      <c r="G76" s="382"/>
      <c r="H76" s="374"/>
    </row>
    <row r="77" spans="1:8" ht="22.5">
      <c r="A77" s="393" t="s">
        <v>1032</v>
      </c>
      <c r="B77" s="375" t="s">
        <v>373</v>
      </c>
      <c r="C77" s="384"/>
      <c r="D77" s="376" t="s">
        <v>57</v>
      </c>
      <c r="E77" s="388"/>
      <c r="F77" s="378" t="s">
        <v>19</v>
      </c>
      <c r="G77" s="510">
        <f t="shared" ref="G77:G82" si="0">G94+300</f>
        <v>365</v>
      </c>
      <c r="H77" s="374"/>
    </row>
    <row r="78" spans="1:8" ht="22.5">
      <c r="A78" s="393" t="s">
        <v>1032</v>
      </c>
      <c r="B78" s="375" t="s">
        <v>373</v>
      </c>
      <c r="C78" s="384"/>
      <c r="D78" s="376" t="s">
        <v>347</v>
      </c>
      <c r="E78" s="388"/>
      <c r="F78" s="378" t="s">
        <v>19</v>
      </c>
      <c r="G78" s="510">
        <f t="shared" si="0"/>
        <v>380</v>
      </c>
      <c r="H78" s="374"/>
    </row>
    <row r="79" spans="1:8" ht="22.5">
      <c r="A79" s="393" t="s">
        <v>1032</v>
      </c>
      <c r="B79" s="375" t="s">
        <v>373</v>
      </c>
      <c r="C79" s="384"/>
      <c r="D79" s="376" t="s">
        <v>62</v>
      </c>
      <c r="E79" s="388"/>
      <c r="F79" s="378" t="s">
        <v>19</v>
      </c>
      <c r="G79" s="510">
        <f t="shared" si="0"/>
        <v>420</v>
      </c>
      <c r="H79" s="374"/>
    </row>
    <row r="80" spans="1:8" ht="22.5">
      <c r="A80" s="393" t="s">
        <v>1032</v>
      </c>
      <c r="B80" s="375" t="s">
        <v>373</v>
      </c>
      <c r="C80" s="384"/>
      <c r="D80" s="376" t="s">
        <v>63</v>
      </c>
      <c r="E80" s="388"/>
      <c r="F80" s="378" t="s">
        <v>19</v>
      </c>
      <c r="G80" s="510">
        <f t="shared" si="0"/>
        <v>440</v>
      </c>
      <c r="H80" s="374"/>
    </row>
    <row r="81" spans="1:8" ht="22.5">
      <c r="A81" s="393" t="s">
        <v>1032</v>
      </c>
      <c r="B81" s="375" t="s">
        <v>373</v>
      </c>
      <c r="C81" s="384"/>
      <c r="D81" s="394" t="s">
        <v>66</v>
      </c>
      <c r="E81" s="388"/>
      <c r="F81" s="378" t="s">
        <v>19</v>
      </c>
      <c r="G81" s="510">
        <f t="shared" si="0"/>
        <v>450</v>
      </c>
      <c r="H81" s="374"/>
    </row>
    <row r="82" spans="1:8" ht="22.5">
      <c r="A82" s="393" t="s">
        <v>1032</v>
      </c>
      <c r="B82" s="375" t="s">
        <v>373</v>
      </c>
      <c r="C82" s="384"/>
      <c r="D82" s="394" t="s">
        <v>121</v>
      </c>
      <c r="E82" s="388"/>
      <c r="F82" s="378" t="s">
        <v>19</v>
      </c>
      <c r="G82" s="510">
        <f t="shared" si="0"/>
        <v>500</v>
      </c>
      <c r="H82" s="374"/>
    </row>
    <row r="83" spans="1:8">
      <c r="A83" s="393" t="s">
        <v>1032</v>
      </c>
      <c r="B83" s="379"/>
      <c r="C83" s="380"/>
      <c r="D83" s="380"/>
      <c r="E83" s="381"/>
      <c r="F83" s="380"/>
      <c r="G83" s="382"/>
      <c r="H83" s="374"/>
    </row>
    <row r="84" spans="1:8" ht="22.5">
      <c r="A84" s="393" t="s">
        <v>1032</v>
      </c>
      <c r="B84" s="375" t="s">
        <v>1102</v>
      </c>
      <c r="C84" s="384"/>
      <c r="D84" s="387" t="s">
        <v>396</v>
      </c>
      <c r="E84" s="388"/>
      <c r="F84" s="378" t="s">
        <v>19</v>
      </c>
      <c r="G84" s="510">
        <f>G98+300</f>
        <v>450</v>
      </c>
      <c r="H84" s="374"/>
    </row>
    <row r="85" spans="1:8" ht="22.5">
      <c r="A85" s="393" t="s">
        <v>1032</v>
      </c>
      <c r="B85" s="375" t="s">
        <v>1102</v>
      </c>
      <c r="C85" s="384"/>
      <c r="D85" s="387" t="s">
        <v>376</v>
      </c>
      <c r="E85" s="388"/>
      <c r="F85" s="378" t="s">
        <v>19</v>
      </c>
      <c r="G85" s="510">
        <f t="shared" ref="G85:G92" si="1">G99+300</f>
        <v>500</v>
      </c>
      <c r="H85" s="374"/>
    </row>
    <row r="86" spans="1:8" ht="22.5">
      <c r="A86" s="393" t="s">
        <v>1032</v>
      </c>
      <c r="B86" s="375" t="s">
        <v>1102</v>
      </c>
      <c r="C86" s="384"/>
      <c r="D86" s="387" t="s">
        <v>357</v>
      </c>
      <c r="E86" s="388"/>
      <c r="F86" s="378" t="s">
        <v>19</v>
      </c>
      <c r="G86" s="510">
        <f t="shared" si="1"/>
        <v>300</v>
      </c>
      <c r="H86" s="374"/>
    </row>
    <row r="87" spans="1:8" ht="22.5">
      <c r="A87" s="393" t="s">
        <v>1032</v>
      </c>
      <c r="B87" s="375" t="s">
        <v>1102</v>
      </c>
      <c r="C87" s="384"/>
      <c r="D87" s="387" t="s">
        <v>377</v>
      </c>
      <c r="E87" s="388"/>
      <c r="F87" s="378" t="s">
        <v>19</v>
      </c>
      <c r="G87" s="510">
        <f t="shared" si="1"/>
        <v>350</v>
      </c>
      <c r="H87" s="374"/>
    </row>
    <row r="88" spans="1:8" ht="22.5">
      <c r="A88" s="393" t="s">
        <v>1032</v>
      </c>
      <c r="B88" s="375" t="s">
        <v>1102</v>
      </c>
      <c r="C88" s="384"/>
      <c r="D88" s="387" t="s">
        <v>326</v>
      </c>
      <c r="E88" s="388"/>
      <c r="F88" s="378" t="s">
        <v>19</v>
      </c>
      <c r="G88" s="510">
        <f t="shared" si="1"/>
        <v>360</v>
      </c>
      <c r="H88" s="374"/>
    </row>
    <row r="89" spans="1:8" ht="22.5">
      <c r="A89" s="393" t="s">
        <v>1032</v>
      </c>
      <c r="B89" s="375" t="s">
        <v>1102</v>
      </c>
      <c r="C89" s="384"/>
      <c r="D89" s="387" t="s">
        <v>358</v>
      </c>
      <c r="E89" s="388"/>
      <c r="F89" s="378" t="s">
        <v>19</v>
      </c>
      <c r="G89" s="510">
        <f t="shared" si="1"/>
        <v>372</v>
      </c>
      <c r="H89" s="374"/>
    </row>
    <row r="90" spans="1:8" ht="22.5">
      <c r="A90" s="393" t="s">
        <v>1032</v>
      </c>
      <c r="B90" s="375" t="s">
        <v>1102</v>
      </c>
      <c r="C90" s="384"/>
      <c r="D90" s="387" t="s">
        <v>120</v>
      </c>
      <c r="E90" s="388"/>
      <c r="F90" s="378" t="s">
        <v>19</v>
      </c>
      <c r="G90" s="510">
        <f t="shared" si="1"/>
        <v>390</v>
      </c>
      <c r="H90" s="374"/>
    </row>
    <row r="91" spans="1:8" ht="22.5">
      <c r="A91" s="393" t="s">
        <v>1032</v>
      </c>
      <c r="B91" s="375" t="s">
        <v>1102</v>
      </c>
      <c r="C91" s="384"/>
      <c r="D91" s="387" t="s">
        <v>154</v>
      </c>
      <c r="E91" s="388"/>
      <c r="F91" s="378" t="s">
        <v>19</v>
      </c>
      <c r="G91" s="510">
        <f t="shared" si="1"/>
        <v>410</v>
      </c>
      <c r="H91" s="374"/>
    </row>
    <row r="92" spans="1:8" ht="22.5">
      <c r="A92" s="393" t="s">
        <v>1032</v>
      </c>
      <c r="B92" s="375" t="s">
        <v>1102</v>
      </c>
      <c r="C92" s="384"/>
      <c r="D92" s="387" t="s">
        <v>155</v>
      </c>
      <c r="E92" s="388"/>
      <c r="F92" s="378" t="s">
        <v>19</v>
      </c>
      <c r="G92" s="510">
        <f t="shared" si="1"/>
        <v>435</v>
      </c>
      <c r="H92" s="374"/>
    </row>
    <row r="93" spans="1:8">
      <c r="A93" s="369" t="s">
        <v>1032</v>
      </c>
      <c r="B93" s="379"/>
      <c r="C93" s="380"/>
      <c r="D93" s="380"/>
      <c r="E93" s="381"/>
      <c r="F93" s="380"/>
      <c r="G93" s="382"/>
      <c r="H93" s="374"/>
    </row>
    <row r="94" spans="1:8">
      <c r="A94" s="369" t="s">
        <v>1032</v>
      </c>
      <c r="B94" s="383" t="s">
        <v>1103</v>
      </c>
      <c r="C94" s="376" t="s">
        <v>57</v>
      </c>
      <c r="D94" s="376"/>
      <c r="E94" s="377"/>
      <c r="F94" s="378" t="s">
        <v>19</v>
      </c>
      <c r="G94" s="510">
        <v>65</v>
      </c>
      <c r="H94" s="374" t="s">
        <v>46</v>
      </c>
    </row>
    <row r="95" spans="1:8">
      <c r="A95" s="369" t="s">
        <v>1032</v>
      </c>
      <c r="B95" s="383" t="s">
        <v>1103</v>
      </c>
      <c r="C95" s="376" t="s">
        <v>347</v>
      </c>
      <c r="D95" s="376"/>
      <c r="E95" s="377"/>
      <c r="F95" s="378" t="s">
        <v>19</v>
      </c>
      <c r="G95" s="510">
        <v>80</v>
      </c>
      <c r="H95" s="374" t="s">
        <v>46</v>
      </c>
    </row>
    <row r="96" spans="1:8">
      <c r="A96" s="369" t="s">
        <v>1032</v>
      </c>
      <c r="B96" s="383" t="s">
        <v>1103</v>
      </c>
      <c r="C96" s="376" t="s">
        <v>62</v>
      </c>
      <c r="D96" s="376"/>
      <c r="E96" s="377"/>
      <c r="F96" s="378" t="s">
        <v>19</v>
      </c>
      <c r="G96" s="510">
        <v>120</v>
      </c>
      <c r="H96" s="374" t="s">
        <v>46</v>
      </c>
    </row>
    <row r="97" spans="1:8">
      <c r="A97" s="369" t="s">
        <v>1032</v>
      </c>
      <c r="B97" s="383" t="s">
        <v>1103</v>
      </c>
      <c r="C97" s="376" t="s">
        <v>63</v>
      </c>
      <c r="D97" s="376"/>
      <c r="E97" s="377"/>
      <c r="F97" s="378" t="s">
        <v>19</v>
      </c>
      <c r="G97" s="510">
        <v>140</v>
      </c>
      <c r="H97" s="374" t="s">
        <v>46</v>
      </c>
    </row>
    <row r="98" spans="1:8">
      <c r="A98" s="369" t="s">
        <v>1032</v>
      </c>
      <c r="B98" s="383" t="s">
        <v>1103</v>
      </c>
      <c r="C98" s="394" t="s">
        <v>66</v>
      </c>
      <c r="D98" s="394"/>
      <c r="E98" s="395"/>
      <c r="F98" s="396" t="s">
        <v>19</v>
      </c>
      <c r="G98" s="515">
        <v>150</v>
      </c>
      <c r="H98" s="374" t="s">
        <v>46</v>
      </c>
    </row>
    <row r="99" spans="1:8">
      <c r="A99" s="369" t="s">
        <v>1032</v>
      </c>
      <c r="B99" s="383" t="s">
        <v>1103</v>
      </c>
      <c r="C99" s="394" t="s">
        <v>121</v>
      </c>
      <c r="D99" s="394"/>
      <c r="E99" s="395"/>
      <c r="F99" s="396" t="s">
        <v>19</v>
      </c>
      <c r="G99" s="515">
        <v>200</v>
      </c>
      <c r="H99" s="374" t="s">
        <v>46</v>
      </c>
    </row>
    <row r="100" spans="1:8">
      <c r="A100" s="369" t="s">
        <v>1032</v>
      </c>
      <c r="B100" s="379"/>
      <c r="C100" s="380"/>
      <c r="D100" s="380"/>
      <c r="E100" s="381"/>
      <c r="F100" s="380"/>
      <c r="G100" s="382"/>
      <c r="H100" s="374"/>
    </row>
    <row r="101" spans="1:8" ht="23.25">
      <c r="A101" s="369" t="s">
        <v>1032</v>
      </c>
      <c r="B101" s="383" t="s">
        <v>1104</v>
      </c>
      <c r="C101" s="387" t="s">
        <v>57</v>
      </c>
      <c r="D101" s="387" t="s">
        <v>396</v>
      </c>
      <c r="E101" s="388"/>
      <c r="F101" s="378" t="s">
        <v>19</v>
      </c>
      <c r="G101" s="516">
        <v>50</v>
      </c>
      <c r="H101" s="374" t="s">
        <v>1105</v>
      </c>
    </row>
    <row r="102" spans="1:8" ht="23.25">
      <c r="A102" s="369" t="s">
        <v>1032</v>
      </c>
      <c r="B102" s="383" t="s">
        <v>1104</v>
      </c>
      <c r="C102" s="42" t="s">
        <v>57</v>
      </c>
      <c r="D102" s="387" t="s">
        <v>376</v>
      </c>
      <c r="E102" s="388"/>
      <c r="F102" s="378" t="s">
        <v>19</v>
      </c>
      <c r="G102" s="516">
        <v>60</v>
      </c>
      <c r="H102" s="374" t="s">
        <v>1105</v>
      </c>
    </row>
    <row r="103" spans="1:8" ht="23.25">
      <c r="A103" s="369" t="s">
        <v>1032</v>
      </c>
      <c r="B103" s="383" t="s">
        <v>1104</v>
      </c>
      <c r="C103" s="387" t="s">
        <v>59</v>
      </c>
      <c r="D103" s="387" t="s">
        <v>357</v>
      </c>
      <c r="E103" s="388"/>
      <c r="F103" s="378" t="s">
        <v>19</v>
      </c>
      <c r="G103" s="516">
        <v>72</v>
      </c>
      <c r="H103" s="374" t="s">
        <v>1105</v>
      </c>
    </row>
    <row r="104" spans="1:8" ht="23.25">
      <c r="A104" s="369" t="s">
        <v>1032</v>
      </c>
      <c r="B104" s="383" t="s">
        <v>1104</v>
      </c>
      <c r="C104" s="387" t="s">
        <v>60</v>
      </c>
      <c r="D104" s="387" t="s">
        <v>377</v>
      </c>
      <c r="E104" s="388"/>
      <c r="F104" s="378" t="s">
        <v>19</v>
      </c>
      <c r="G104" s="516">
        <v>90</v>
      </c>
      <c r="H104" s="374" t="s">
        <v>1105</v>
      </c>
    </row>
    <row r="105" spans="1:8" ht="23.25">
      <c r="A105" s="369" t="s">
        <v>1032</v>
      </c>
      <c r="B105" s="383" t="s">
        <v>1104</v>
      </c>
      <c r="C105" s="387" t="s">
        <v>62</v>
      </c>
      <c r="D105" s="387" t="s">
        <v>326</v>
      </c>
      <c r="E105" s="388"/>
      <c r="F105" s="378" t="s">
        <v>19</v>
      </c>
      <c r="G105" s="516">
        <v>110</v>
      </c>
      <c r="H105" s="374" t="s">
        <v>1105</v>
      </c>
    </row>
    <row r="106" spans="1:8" ht="23.25">
      <c r="A106" s="369" t="s">
        <v>1032</v>
      </c>
      <c r="B106" s="383" t="s">
        <v>1104</v>
      </c>
      <c r="C106" s="387" t="s">
        <v>63</v>
      </c>
      <c r="D106" s="387" t="s">
        <v>358</v>
      </c>
      <c r="E106" s="388"/>
      <c r="F106" s="378" t="s">
        <v>19</v>
      </c>
      <c r="G106" s="516">
        <v>135</v>
      </c>
      <c r="H106" s="374" t="s">
        <v>1105</v>
      </c>
    </row>
    <row r="107" spans="1:8" ht="23.25">
      <c r="A107" s="369" t="s">
        <v>1032</v>
      </c>
      <c r="B107" s="383" t="s">
        <v>1104</v>
      </c>
      <c r="C107" s="387" t="s">
        <v>66</v>
      </c>
      <c r="D107" s="387" t="s">
        <v>120</v>
      </c>
      <c r="E107" s="388"/>
      <c r="F107" s="378" t="s">
        <v>19</v>
      </c>
      <c r="G107" s="516">
        <v>150</v>
      </c>
      <c r="H107" s="374" t="s">
        <v>1105</v>
      </c>
    </row>
    <row r="108" spans="1:8" ht="23.25">
      <c r="A108" s="369" t="s">
        <v>1032</v>
      </c>
      <c r="B108" s="383" t="s">
        <v>1104</v>
      </c>
      <c r="C108" s="387" t="s">
        <v>121</v>
      </c>
      <c r="D108" s="387" t="s">
        <v>154</v>
      </c>
      <c r="E108" s="388"/>
      <c r="F108" s="378" t="s">
        <v>19</v>
      </c>
      <c r="G108" s="516">
        <v>190</v>
      </c>
      <c r="H108" s="374" t="s">
        <v>1105</v>
      </c>
    </row>
    <row r="109" spans="1:8" ht="23.25">
      <c r="A109" s="369" t="s">
        <v>1032</v>
      </c>
      <c r="B109" s="383" t="s">
        <v>1104</v>
      </c>
      <c r="C109" s="387" t="s">
        <v>122</v>
      </c>
      <c r="D109" s="387" t="s">
        <v>155</v>
      </c>
      <c r="E109" s="388"/>
      <c r="F109" s="378" t="s">
        <v>19</v>
      </c>
      <c r="G109" s="517">
        <v>220</v>
      </c>
      <c r="H109" s="374" t="s">
        <v>1105</v>
      </c>
    </row>
    <row r="110" spans="1:8">
      <c r="A110" s="369" t="s">
        <v>1032</v>
      </c>
      <c r="B110" s="397"/>
      <c r="C110" s="398"/>
      <c r="D110" s="398"/>
      <c r="E110" s="399"/>
      <c r="F110" s="398"/>
      <c r="G110" s="400"/>
      <c r="H110" s="374"/>
    </row>
    <row r="111" spans="1:8" ht="68.25">
      <c r="A111" s="369" t="s">
        <v>1032</v>
      </c>
      <c r="B111" s="401" t="s">
        <v>1106</v>
      </c>
      <c r="C111" s="376" t="s">
        <v>47</v>
      </c>
      <c r="D111" s="376" t="s">
        <v>285</v>
      </c>
      <c r="E111" s="377"/>
      <c r="F111" s="402" t="s">
        <v>19</v>
      </c>
      <c r="G111" s="517">
        <v>25</v>
      </c>
      <c r="H111" s="374" t="s">
        <v>1107</v>
      </c>
    </row>
    <row r="112" spans="1:8" ht="68.25">
      <c r="A112" s="369" t="s">
        <v>1032</v>
      </c>
      <c r="B112" s="401" t="s">
        <v>1106</v>
      </c>
      <c r="C112" s="376" t="s">
        <v>47</v>
      </c>
      <c r="D112" s="376" t="s">
        <v>21</v>
      </c>
      <c r="E112" s="377"/>
      <c r="F112" s="402" t="s">
        <v>19</v>
      </c>
      <c r="G112" s="517">
        <v>25</v>
      </c>
      <c r="H112" s="374" t="s">
        <v>1107</v>
      </c>
    </row>
    <row r="113" spans="1:8" ht="68.25">
      <c r="A113" s="369" t="s">
        <v>1032</v>
      </c>
      <c r="B113" s="401" t="s">
        <v>1106</v>
      </c>
      <c r="C113" s="376" t="s">
        <v>49</v>
      </c>
      <c r="D113" s="376" t="s">
        <v>23</v>
      </c>
      <c r="E113" s="377"/>
      <c r="F113" s="402" t="s">
        <v>19</v>
      </c>
      <c r="G113" s="517">
        <v>25</v>
      </c>
      <c r="H113" s="374" t="s">
        <v>1107</v>
      </c>
    </row>
    <row r="114" spans="1:8" ht="68.25">
      <c r="A114" s="369" t="s">
        <v>1032</v>
      </c>
      <c r="B114" s="401" t="s">
        <v>1106</v>
      </c>
      <c r="C114" s="376" t="s">
        <v>51</v>
      </c>
      <c r="D114" s="376" t="s">
        <v>25</v>
      </c>
      <c r="E114" s="377"/>
      <c r="F114" s="402" t="s">
        <v>19</v>
      </c>
      <c r="G114" s="517">
        <v>25</v>
      </c>
      <c r="H114" s="374" t="s">
        <v>1107</v>
      </c>
    </row>
    <row r="115" spans="1:8" ht="68.25">
      <c r="A115" s="369" t="s">
        <v>1032</v>
      </c>
      <c r="B115" s="401" t="s">
        <v>1106</v>
      </c>
      <c r="C115" s="376" t="s">
        <v>53</v>
      </c>
      <c r="D115" s="376" t="s">
        <v>27</v>
      </c>
      <c r="E115" s="377"/>
      <c r="F115" s="402" t="s">
        <v>19</v>
      </c>
      <c r="G115" s="517">
        <v>25</v>
      </c>
      <c r="H115" s="374" t="s">
        <v>1107</v>
      </c>
    </row>
    <row r="116" spans="1:8" ht="68.25">
      <c r="A116" s="369" t="s">
        <v>1032</v>
      </c>
      <c r="B116" s="401" t="s">
        <v>1106</v>
      </c>
      <c r="C116" s="376" t="s">
        <v>55</v>
      </c>
      <c r="D116" s="376" t="s">
        <v>29</v>
      </c>
      <c r="E116" s="377"/>
      <c r="F116" s="402" t="s">
        <v>19</v>
      </c>
      <c r="G116" s="517">
        <v>25</v>
      </c>
      <c r="H116" s="374" t="s">
        <v>1107</v>
      </c>
    </row>
    <row r="117" spans="1:8" ht="68.25">
      <c r="A117" s="369" t="s">
        <v>1032</v>
      </c>
      <c r="B117" s="401" t="s">
        <v>1106</v>
      </c>
      <c r="C117" s="376" t="s">
        <v>57</v>
      </c>
      <c r="D117" s="376" t="s">
        <v>376</v>
      </c>
      <c r="E117" s="377"/>
      <c r="F117" s="402" t="s">
        <v>19</v>
      </c>
      <c r="G117" s="517">
        <v>25</v>
      </c>
      <c r="H117" s="374" t="s">
        <v>1107</v>
      </c>
    </row>
    <row r="118" spans="1:8" ht="68.25">
      <c r="A118" s="369" t="s">
        <v>1032</v>
      </c>
      <c r="B118" s="401" t="s">
        <v>1106</v>
      </c>
      <c r="C118" s="376" t="s">
        <v>59</v>
      </c>
      <c r="D118" s="376" t="s">
        <v>357</v>
      </c>
      <c r="E118" s="377"/>
      <c r="F118" s="402" t="s">
        <v>19</v>
      </c>
      <c r="G118" s="517">
        <v>25</v>
      </c>
      <c r="H118" s="374" t="s">
        <v>1107</v>
      </c>
    </row>
    <row r="119" spans="1:8" ht="68.25">
      <c r="A119" s="369" t="s">
        <v>1032</v>
      </c>
      <c r="B119" s="401" t="s">
        <v>1106</v>
      </c>
      <c r="C119" s="376" t="s">
        <v>60</v>
      </c>
      <c r="D119" s="376" t="s">
        <v>377</v>
      </c>
      <c r="E119" s="377"/>
      <c r="F119" s="402" t="s">
        <v>19</v>
      </c>
      <c r="G119" s="517">
        <v>30</v>
      </c>
      <c r="H119" s="374" t="s">
        <v>1107</v>
      </c>
    </row>
    <row r="120" spans="1:8" ht="68.25">
      <c r="A120" s="369" t="s">
        <v>1032</v>
      </c>
      <c r="B120" s="401" t="s">
        <v>1106</v>
      </c>
      <c r="C120" s="376" t="s">
        <v>62</v>
      </c>
      <c r="D120" s="376" t="s">
        <v>326</v>
      </c>
      <c r="E120" s="377"/>
      <c r="F120" s="402" t="s">
        <v>19</v>
      </c>
      <c r="G120" s="517">
        <v>30</v>
      </c>
      <c r="H120" s="374" t="s">
        <v>1107</v>
      </c>
    </row>
    <row r="121" spans="1:8" ht="68.25">
      <c r="A121" s="369" t="s">
        <v>1032</v>
      </c>
      <c r="B121" s="401" t="s">
        <v>1106</v>
      </c>
      <c r="C121" s="376" t="s">
        <v>63</v>
      </c>
      <c r="D121" s="376" t="s">
        <v>64</v>
      </c>
      <c r="E121" s="377"/>
      <c r="F121" s="402" t="s">
        <v>19</v>
      </c>
      <c r="G121" s="517">
        <v>35</v>
      </c>
      <c r="H121" s="374" t="s">
        <v>1107</v>
      </c>
    </row>
    <row r="122" spans="1:8" ht="68.25">
      <c r="A122" s="369" t="s">
        <v>1032</v>
      </c>
      <c r="B122" s="401" t="s">
        <v>1106</v>
      </c>
      <c r="C122" s="376" t="s">
        <v>66</v>
      </c>
      <c r="D122" s="376" t="s">
        <v>120</v>
      </c>
      <c r="E122" s="377"/>
      <c r="F122" s="402" t="s">
        <v>19</v>
      </c>
      <c r="G122" s="517">
        <v>35</v>
      </c>
      <c r="H122" s="374" t="s">
        <v>1107</v>
      </c>
    </row>
    <row r="123" spans="1:8" ht="68.25">
      <c r="A123" s="369" t="s">
        <v>1032</v>
      </c>
      <c r="B123" s="401" t="s">
        <v>1106</v>
      </c>
      <c r="C123" s="376" t="s">
        <v>121</v>
      </c>
      <c r="D123" s="376" t="s">
        <v>154</v>
      </c>
      <c r="E123" s="377"/>
      <c r="F123" s="402" t="s">
        <v>19</v>
      </c>
      <c r="G123" s="517">
        <v>35</v>
      </c>
      <c r="H123" s="374" t="s">
        <v>1107</v>
      </c>
    </row>
    <row r="124" spans="1:8" ht="68.25">
      <c r="A124" s="369" t="s">
        <v>1032</v>
      </c>
      <c r="B124" s="401" t="s">
        <v>1106</v>
      </c>
      <c r="C124" s="376" t="s">
        <v>122</v>
      </c>
      <c r="D124" s="376" t="s">
        <v>155</v>
      </c>
      <c r="E124" s="377"/>
      <c r="F124" s="402" t="s">
        <v>19</v>
      </c>
      <c r="G124" s="518">
        <v>35</v>
      </c>
      <c r="H124" s="374" t="s">
        <v>1107</v>
      </c>
    </row>
    <row r="125" spans="1:8" ht="68.25">
      <c r="A125" s="369" t="s">
        <v>1032</v>
      </c>
      <c r="B125" s="403" t="s">
        <v>1108</v>
      </c>
      <c r="C125" s="404"/>
      <c r="D125" s="404"/>
      <c r="E125" s="405"/>
      <c r="F125" s="402" t="s">
        <v>312</v>
      </c>
      <c r="G125" s="518">
        <v>43</v>
      </c>
      <c r="H125" s="374" t="s">
        <v>1107</v>
      </c>
    </row>
    <row r="126" spans="1:8">
      <c r="A126" s="369" t="s">
        <v>1032</v>
      </c>
      <c r="B126" s="397"/>
      <c r="C126" s="398"/>
      <c r="D126" s="398"/>
      <c r="E126" s="399"/>
      <c r="F126" s="398"/>
      <c r="G126" s="400"/>
      <c r="H126" s="374"/>
    </row>
    <row r="127" spans="1:8">
      <c r="A127" s="369" t="s">
        <v>1032</v>
      </c>
      <c r="B127" s="401" t="s">
        <v>1109</v>
      </c>
      <c r="C127" s="406"/>
      <c r="D127" s="407">
        <v>95</v>
      </c>
      <c r="E127" s="408"/>
      <c r="F127" s="406" t="s">
        <v>312</v>
      </c>
      <c r="G127" s="519">
        <v>120</v>
      </c>
      <c r="H127" s="374" t="s">
        <v>1110</v>
      </c>
    </row>
    <row r="128" spans="1:8">
      <c r="A128" s="369" t="s">
        <v>1032</v>
      </c>
      <c r="B128" s="401" t="s">
        <v>1111</v>
      </c>
      <c r="C128" s="406"/>
      <c r="D128" s="407">
        <v>120</v>
      </c>
      <c r="E128" s="408"/>
      <c r="F128" s="406" t="s">
        <v>312</v>
      </c>
      <c r="G128" s="519">
        <v>120</v>
      </c>
      <c r="H128" s="374" t="s">
        <v>1112</v>
      </c>
    </row>
    <row r="129" spans="1:8">
      <c r="A129" s="369" t="s">
        <v>1032</v>
      </c>
      <c r="B129" s="401" t="s">
        <v>1113</v>
      </c>
      <c r="C129" s="406"/>
      <c r="D129" s="407">
        <v>140</v>
      </c>
      <c r="E129" s="408"/>
      <c r="F129" s="406" t="s">
        <v>312</v>
      </c>
      <c r="G129" s="519">
        <v>120</v>
      </c>
      <c r="H129" s="374" t="s">
        <v>1114</v>
      </c>
    </row>
    <row r="130" spans="1:8">
      <c r="A130" s="369" t="s">
        <v>1032</v>
      </c>
      <c r="B130" s="401" t="s">
        <v>1115</v>
      </c>
      <c r="C130" s="406"/>
      <c r="D130" s="407">
        <v>290</v>
      </c>
      <c r="E130" s="408"/>
      <c r="F130" s="406" t="s">
        <v>312</v>
      </c>
      <c r="G130" s="519">
        <v>190</v>
      </c>
      <c r="H130" s="374" t="s">
        <v>1116</v>
      </c>
    </row>
    <row r="131" spans="1:8">
      <c r="A131" s="369" t="s">
        <v>1032</v>
      </c>
      <c r="B131" s="403" t="s">
        <v>1117</v>
      </c>
      <c r="C131" s="409" t="s">
        <v>1118</v>
      </c>
      <c r="D131" s="410">
        <v>0.3</v>
      </c>
      <c r="E131" s="411"/>
      <c r="F131" s="406" t="s">
        <v>1119</v>
      </c>
      <c r="G131" s="518">
        <v>100</v>
      </c>
      <c r="H131" s="374"/>
    </row>
    <row r="132" spans="1:8">
      <c r="A132" s="369" t="s">
        <v>1032</v>
      </c>
      <c r="B132" s="379"/>
      <c r="C132" s="380"/>
      <c r="D132" s="380"/>
      <c r="E132" s="381"/>
      <c r="F132" s="380"/>
      <c r="G132" s="382"/>
      <c r="H132" s="374"/>
    </row>
    <row r="133" spans="1:8">
      <c r="A133" s="369" t="s">
        <v>1032</v>
      </c>
      <c r="B133" s="375" t="s">
        <v>318</v>
      </c>
      <c r="C133" s="362" t="s">
        <v>47</v>
      </c>
      <c r="D133" s="362" t="s">
        <v>21</v>
      </c>
      <c r="E133" s="412"/>
      <c r="F133" s="378" t="s">
        <v>100</v>
      </c>
      <c r="G133" s="510">
        <v>30</v>
      </c>
      <c r="H133" s="374" t="s">
        <v>20</v>
      </c>
    </row>
    <row r="134" spans="1:8">
      <c r="A134" s="369" t="s">
        <v>1032</v>
      </c>
      <c r="B134" s="375" t="s">
        <v>318</v>
      </c>
      <c r="C134" s="362" t="s">
        <v>49</v>
      </c>
      <c r="D134" s="362" t="s">
        <v>23</v>
      </c>
      <c r="E134" s="412"/>
      <c r="F134" s="378" t="s">
        <v>100</v>
      </c>
      <c r="G134" s="510">
        <v>35</v>
      </c>
      <c r="H134" s="374" t="s">
        <v>20</v>
      </c>
    </row>
    <row r="135" spans="1:8">
      <c r="A135" s="369" t="s">
        <v>1032</v>
      </c>
      <c r="B135" s="375" t="s">
        <v>318</v>
      </c>
      <c r="C135" s="42" t="s">
        <v>51</v>
      </c>
      <c r="D135" s="42" t="s">
        <v>25</v>
      </c>
      <c r="E135" s="388"/>
      <c r="F135" s="378" t="s">
        <v>100</v>
      </c>
      <c r="G135" s="510">
        <v>35</v>
      </c>
      <c r="H135" s="374" t="s">
        <v>20</v>
      </c>
    </row>
    <row r="136" spans="1:8">
      <c r="A136" s="369" t="s">
        <v>1032</v>
      </c>
      <c r="B136" s="380"/>
      <c r="C136" s="380"/>
      <c r="D136" s="380"/>
      <c r="E136" s="380"/>
      <c r="F136" s="380"/>
      <c r="G136" s="382"/>
      <c r="H136" s="374"/>
    </row>
    <row r="137" spans="1:8">
      <c r="A137" s="369" t="s">
        <v>1032</v>
      </c>
      <c r="B137" s="375" t="s">
        <v>323</v>
      </c>
      <c r="C137" s="42" t="s">
        <v>57</v>
      </c>
      <c r="D137" s="42" t="s">
        <v>29</v>
      </c>
      <c r="E137" s="388"/>
      <c r="F137" s="378" t="s">
        <v>100</v>
      </c>
      <c r="G137" s="510">
        <v>35</v>
      </c>
      <c r="H137" s="374" t="s">
        <v>1101</v>
      </c>
    </row>
    <row r="138" spans="1:8">
      <c r="A138" s="369" t="s">
        <v>1032</v>
      </c>
      <c r="B138" s="375" t="s">
        <v>323</v>
      </c>
      <c r="C138" s="42" t="s">
        <v>59</v>
      </c>
      <c r="D138" s="42" t="s">
        <v>357</v>
      </c>
      <c r="E138" s="388"/>
      <c r="F138" s="378" t="s">
        <v>100</v>
      </c>
      <c r="G138" s="510">
        <v>40</v>
      </c>
      <c r="H138" s="374" t="s">
        <v>1101</v>
      </c>
    </row>
    <row r="139" spans="1:8">
      <c r="A139" s="369" t="s">
        <v>1032</v>
      </c>
      <c r="B139" s="375" t="s">
        <v>323</v>
      </c>
      <c r="C139" s="42" t="s">
        <v>325</v>
      </c>
      <c r="D139" s="42" t="s">
        <v>326</v>
      </c>
      <c r="E139" s="388"/>
      <c r="F139" s="378" t="s">
        <v>100</v>
      </c>
      <c r="G139" s="510">
        <v>45</v>
      </c>
      <c r="H139" s="374" t="s">
        <v>1101</v>
      </c>
    </row>
    <row r="140" spans="1:8">
      <c r="A140" s="369" t="s">
        <v>1032</v>
      </c>
      <c r="B140" s="413"/>
      <c r="C140" s="413"/>
      <c r="D140" s="413"/>
      <c r="E140" s="413"/>
      <c r="F140" s="413"/>
      <c r="G140" s="414"/>
      <c r="H140" s="374"/>
    </row>
    <row r="141" spans="1:8" ht="33.75">
      <c r="A141" s="369" t="s">
        <v>1032</v>
      </c>
      <c r="B141" s="375" t="s">
        <v>1120</v>
      </c>
      <c r="C141" s="42" t="s">
        <v>47</v>
      </c>
      <c r="D141" s="42" t="s">
        <v>99</v>
      </c>
      <c r="E141" s="388"/>
      <c r="F141" s="378" t="s">
        <v>100</v>
      </c>
      <c r="G141" s="517">
        <v>25</v>
      </c>
      <c r="H141" s="374" t="s">
        <v>103</v>
      </c>
    </row>
    <row r="142" spans="1:8" ht="33.75">
      <c r="A142" s="369" t="s">
        <v>1032</v>
      </c>
      <c r="B142" s="375" t="s">
        <v>1120</v>
      </c>
      <c r="C142" s="42" t="s">
        <v>49</v>
      </c>
      <c r="D142" s="42" t="s">
        <v>104</v>
      </c>
      <c r="E142" s="388"/>
      <c r="F142" s="378" t="s">
        <v>100</v>
      </c>
      <c r="G142" s="517">
        <v>30</v>
      </c>
      <c r="H142" s="374" t="s">
        <v>103</v>
      </c>
    </row>
    <row r="143" spans="1:8" ht="33.75">
      <c r="A143" s="369" t="s">
        <v>1032</v>
      </c>
      <c r="B143" s="375" t="s">
        <v>1120</v>
      </c>
      <c r="C143" s="42" t="s">
        <v>51</v>
      </c>
      <c r="D143" s="42" t="s">
        <v>105</v>
      </c>
      <c r="E143" s="388"/>
      <c r="F143" s="378" t="s">
        <v>100</v>
      </c>
      <c r="G143" s="517">
        <v>35</v>
      </c>
      <c r="H143" s="374" t="s">
        <v>103</v>
      </c>
    </row>
    <row r="144" spans="1:8" ht="33.75">
      <c r="A144" s="369" t="s">
        <v>1032</v>
      </c>
      <c r="B144" s="375" t="s">
        <v>1120</v>
      </c>
      <c r="C144" s="42" t="s">
        <v>53</v>
      </c>
      <c r="D144" s="42" t="s">
        <v>106</v>
      </c>
      <c r="E144" s="388"/>
      <c r="F144" s="378" t="s">
        <v>100</v>
      </c>
      <c r="G144" s="517">
        <v>50</v>
      </c>
      <c r="H144" s="374" t="s">
        <v>103</v>
      </c>
    </row>
    <row r="145" spans="1:8" ht="33.75">
      <c r="A145" s="369" t="s">
        <v>1032</v>
      </c>
      <c r="B145" s="375" t="s">
        <v>1120</v>
      </c>
      <c r="C145" s="42" t="s">
        <v>55</v>
      </c>
      <c r="D145" s="42" t="s">
        <v>107</v>
      </c>
      <c r="E145" s="388"/>
      <c r="F145" s="378" t="s">
        <v>100</v>
      </c>
      <c r="G145" s="517">
        <v>55</v>
      </c>
      <c r="H145" s="374" t="s">
        <v>103</v>
      </c>
    </row>
    <row r="146" spans="1:8" ht="33.75">
      <c r="A146" s="369" t="s">
        <v>1032</v>
      </c>
      <c r="B146" s="375" t="s">
        <v>1120</v>
      </c>
      <c r="C146" s="42" t="s">
        <v>57</v>
      </c>
      <c r="D146" s="42" t="s">
        <v>31</v>
      </c>
      <c r="E146" s="388"/>
      <c r="F146" s="378" t="s">
        <v>100</v>
      </c>
      <c r="G146" s="517">
        <v>75</v>
      </c>
      <c r="H146" s="374" t="s">
        <v>103</v>
      </c>
    </row>
    <row r="147" spans="1:8" ht="33.75">
      <c r="A147" s="369" t="s">
        <v>1032</v>
      </c>
      <c r="B147" s="375" t="s">
        <v>1121</v>
      </c>
      <c r="C147" s="42" t="s">
        <v>59</v>
      </c>
      <c r="D147" s="42" t="s">
        <v>1041</v>
      </c>
      <c r="E147" s="388"/>
      <c r="F147" s="378" t="s">
        <v>100</v>
      </c>
      <c r="G147" s="517">
        <v>120</v>
      </c>
      <c r="H147" s="374" t="s">
        <v>103</v>
      </c>
    </row>
    <row r="148" spans="1:8" ht="33.75">
      <c r="A148" s="369" t="s">
        <v>1032</v>
      </c>
      <c r="B148" s="375" t="s">
        <v>1121</v>
      </c>
      <c r="C148" s="42" t="s">
        <v>60</v>
      </c>
      <c r="D148" s="42" t="s">
        <v>1042</v>
      </c>
      <c r="E148" s="388"/>
      <c r="F148" s="378" t="s">
        <v>100</v>
      </c>
      <c r="G148" s="517">
        <v>150</v>
      </c>
      <c r="H148" s="374" t="s">
        <v>103</v>
      </c>
    </row>
    <row r="149" spans="1:8" ht="33.75">
      <c r="A149" s="369" t="s">
        <v>1032</v>
      </c>
      <c r="B149" s="375" t="s">
        <v>1121</v>
      </c>
      <c r="C149" s="42" t="s">
        <v>62</v>
      </c>
      <c r="D149" s="42" t="s">
        <v>1043</v>
      </c>
      <c r="E149" s="388"/>
      <c r="F149" s="378" t="s">
        <v>100</v>
      </c>
      <c r="G149" s="517">
        <v>162</v>
      </c>
      <c r="H149" s="374" t="s">
        <v>103</v>
      </c>
    </row>
    <row r="150" spans="1:8" ht="33.75">
      <c r="A150" s="369" t="s">
        <v>1032</v>
      </c>
      <c r="B150" s="375" t="s">
        <v>1121</v>
      </c>
      <c r="C150" s="42" t="s">
        <v>63</v>
      </c>
      <c r="D150" s="42" t="s">
        <v>64</v>
      </c>
      <c r="E150" s="388"/>
      <c r="F150" s="378" t="s">
        <v>100</v>
      </c>
      <c r="G150" s="517">
        <v>200</v>
      </c>
      <c r="H150" s="374" t="s">
        <v>103</v>
      </c>
    </row>
    <row r="151" spans="1:8" ht="33.75">
      <c r="A151" s="369" t="s">
        <v>1032</v>
      </c>
      <c r="B151" s="375" t="s">
        <v>1121</v>
      </c>
      <c r="C151" s="42" t="s">
        <v>66</v>
      </c>
      <c r="D151" s="42" t="s">
        <v>120</v>
      </c>
      <c r="E151" s="388"/>
      <c r="F151" s="378" t="s">
        <v>100</v>
      </c>
      <c r="G151" s="517">
        <v>250</v>
      </c>
      <c r="H151" s="374" t="s">
        <v>103</v>
      </c>
    </row>
    <row r="152" spans="1:8" ht="33.75">
      <c r="A152" s="369" t="s">
        <v>1032</v>
      </c>
      <c r="B152" s="375" t="s">
        <v>1121</v>
      </c>
      <c r="C152" s="42" t="s">
        <v>121</v>
      </c>
      <c r="D152" s="42"/>
      <c r="E152" s="388"/>
      <c r="F152" s="378" t="s">
        <v>100</v>
      </c>
      <c r="G152" s="517">
        <v>325</v>
      </c>
      <c r="H152" s="374" t="s">
        <v>103</v>
      </c>
    </row>
    <row r="153" spans="1:8" ht="33.75">
      <c r="A153" s="369" t="s">
        <v>1032</v>
      </c>
      <c r="B153" s="375" t="s">
        <v>1121</v>
      </c>
      <c r="C153" s="42" t="s">
        <v>122</v>
      </c>
      <c r="D153" s="42"/>
      <c r="E153" s="388"/>
      <c r="F153" s="378" t="s">
        <v>100</v>
      </c>
      <c r="G153" s="517">
        <v>400</v>
      </c>
      <c r="H153" s="374" t="s">
        <v>103</v>
      </c>
    </row>
    <row r="154" spans="1:8">
      <c r="A154" s="369" t="s">
        <v>1032</v>
      </c>
      <c r="B154" s="375" t="s">
        <v>140</v>
      </c>
      <c r="C154" s="415" t="s">
        <v>141</v>
      </c>
      <c r="D154" s="42"/>
      <c r="E154" s="388"/>
      <c r="F154" s="378" t="s">
        <v>100</v>
      </c>
      <c r="G154" s="517">
        <v>25</v>
      </c>
      <c r="H154" s="374" t="s">
        <v>103</v>
      </c>
    </row>
    <row r="155" spans="1:8" ht="22.5">
      <c r="A155" s="369" t="s">
        <v>1032</v>
      </c>
      <c r="B155" s="375" t="s">
        <v>1049</v>
      </c>
      <c r="C155" s="415" t="s">
        <v>47</v>
      </c>
      <c r="D155" s="42"/>
      <c r="E155" s="388"/>
      <c r="F155" s="378" t="s">
        <v>100</v>
      </c>
      <c r="G155" s="517">
        <f>25+15</f>
        <v>40</v>
      </c>
      <c r="H155" s="374" t="s">
        <v>103</v>
      </c>
    </row>
    <row r="156" spans="1:8" ht="22.5">
      <c r="A156" s="369" t="s">
        <v>1032</v>
      </c>
      <c r="B156" s="375" t="s">
        <v>1049</v>
      </c>
      <c r="C156" s="415" t="s">
        <v>49</v>
      </c>
      <c r="D156" s="42"/>
      <c r="E156" s="388"/>
      <c r="F156" s="378" t="s">
        <v>100</v>
      </c>
      <c r="G156" s="517">
        <v>50</v>
      </c>
      <c r="H156" s="374" t="s">
        <v>103</v>
      </c>
    </row>
    <row r="157" spans="1:8" ht="22.5">
      <c r="A157" s="369" t="s">
        <v>1032</v>
      </c>
      <c r="B157" s="375" t="s">
        <v>1049</v>
      </c>
      <c r="C157" s="415" t="s">
        <v>51</v>
      </c>
      <c r="D157" s="42"/>
      <c r="E157" s="388"/>
      <c r="F157" s="378" t="s">
        <v>100</v>
      </c>
      <c r="G157" s="517">
        <v>55</v>
      </c>
      <c r="H157" s="374" t="s">
        <v>103</v>
      </c>
    </row>
    <row r="158" spans="1:8" ht="22.5">
      <c r="A158" s="369" t="s">
        <v>1032</v>
      </c>
      <c r="B158" s="375" t="s">
        <v>147</v>
      </c>
      <c r="C158" s="415" t="s">
        <v>47</v>
      </c>
      <c r="D158" s="42"/>
      <c r="E158" s="388"/>
      <c r="F158" s="378" t="s">
        <v>100</v>
      </c>
      <c r="G158" s="517">
        <v>50</v>
      </c>
      <c r="H158" s="374" t="s">
        <v>103</v>
      </c>
    </row>
    <row r="159" spans="1:8" ht="22.5">
      <c r="A159" s="369" t="s">
        <v>1032</v>
      </c>
      <c r="B159" s="375" t="s">
        <v>1122</v>
      </c>
      <c r="C159" s="415" t="s">
        <v>47</v>
      </c>
      <c r="D159" s="42"/>
      <c r="E159" s="388"/>
      <c r="F159" s="378" t="s">
        <v>100</v>
      </c>
      <c r="G159" s="517">
        <v>40</v>
      </c>
      <c r="H159" s="374" t="s">
        <v>103</v>
      </c>
    </row>
    <row r="160" spans="1:8" ht="22.5">
      <c r="A160" s="369" t="s">
        <v>1032</v>
      </c>
      <c r="B160" s="375" t="s">
        <v>1122</v>
      </c>
      <c r="C160" s="415" t="s">
        <v>49</v>
      </c>
      <c r="D160" s="42"/>
      <c r="E160" s="388"/>
      <c r="F160" s="378" t="s">
        <v>100</v>
      </c>
      <c r="G160" s="517">
        <v>50</v>
      </c>
      <c r="H160" s="374" t="s">
        <v>103</v>
      </c>
    </row>
    <row r="161" spans="1:8" ht="22.5">
      <c r="A161" s="369" t="s">
        <v>1032</v>
      </c>
      <c r="B161" s="375" t="s">
        <v>1122</v>
      </c>
      <c r="C161" s="415" t="s">
        <v>51</v>
      </c>
      <c r="D161" s="42"/>
      <c r="E161" s="388"/>
      <c r="F161" s="378" t="s">
        <v>100</v>
      </c>
      <c r="G161" s="517">
        <v>65</v>
      </c>
      <c r="H161" s="374" t="s">
        <v>103</v>
      </c>
    </row>
    <row r="162" spans="1:8" ht="22.5">
      <c r="A162" s="369" t="s">
        <v>1032</v>
      </c>
      <c r="B162" s="375" t="s">
        <v>1122</v>
      </c>
      <c r="C162" s="415" t="s">
        <v>53</v>
      </c>
      <c r="D162" s="42"/>
      <c r="E162" s="388"/>
      <c r="F162" s="378" t="s">
        <v>100</v>
      </c>
      <c r="G162" s="517">
        <v>80</v>
      </c>
      <c r="H162" s="374" t="s">
        <v>103</v>
      </c>
    </row>
    <row r="163" spans="1:8" ht="22.5">
      <c r="A163" s="369" t="s">
        <v>1032</v>
      </c>
      <c r="B163" s="375" t="s">
        <v>1122</v>
      </c>
      <c r="C163" s="415" t="s">
        <v>1123</v>
      </c>
      <c r="D163" s="42"/>
      <c r="E163" s="388"/>
      <c r="F163" s="378" t="s">
        <v>100</v>
      </c>
      <c r="G163" s="517">
        <v>100</v>
      </c>
      <c r="H163" s="374" t="s">
        <v>103</v>
      </c>
    </row>
    <row r="164" spans="1:8">
      <c r="A164" s="369" t="s">
        <v>1032</v>
      </c>
      <c r="B164" s="416"/>
      <c r="C164" s="416"/>
      <c r="D164" s="416"/>
      <c r="E164" s="416"/>
      <c r="F164" s="416"/>
      <c r="G164" s="417"/>
      <c r="H164" s="374"/>
    </row>
    <row r="165" spans="1:8">
      <c r="A165" s="369" t="s">
        <v>1032</v>
      </c>
      <c r="B165" s="418" t="s">
        <v>328</v>
      </c>
      <c r="C165" s="419" t="s">
        <v>1124</v>
      </c>
      <c r="D165" s="420"/>
      <c r="E165" s="421"/>
      <c r="F165" s="406"/>
      <c r="G165" s="520">
        <v>125</v>
      </c>
      <c r="H165" s="374" t="s">
        <v>1125</v>
      </c>
    </row>
    <row r="166" spans="1:8">
      <c r="A166" s="369" t="s">
        <v>1032</v>
      </c>
      <c r="B166" s="418" t="s">
        <v>328</v>
      </c>
      <c r="C166" s="422" t="s">
        <v>1126</v>
      </c>
      <c r="D166" s="420"/>
      <c r="E166" s="421"/>
      <c r="F166" s="406"/>
      <c r="G166" s="520">
        <v>250</v>
      </c>
      <c r="H166" s="374" t="s">
        <v>1125</v>
      </c>
    </row>
    <row r="167" spans="1:8">
      <c r="A167" s="369" t="s">
        <v>1032</v>
      </c>
      <c r="B167" s="418" t="s">
        <v>328</v>
      </c>
      <c r="C167" s="419" t="s">
        <v>1127</v>
      </c>
      <c r="D167" s="420"/>
      <c r="E167" s="421"/>
      <c r="F167" s="406"/>
      <c r="G167" s="520">
        <v>325</v>
      </c>
      <c r="H167" s="374" t="s">
        <v>1125</v>
      </c>
    </row>
    <row r="168" spans="1:8">
      <c r="A168" s="369" t="s">
        <v>1032</v>
      </c>
      <c r="B168" s="423"/>
      <c r="C168" s="420"/>
      <c r="D168" s="420"/>
      <c r="E168" s="421"/>
      <c r="F168" s="406"/>
      <c r="G168" s="520"/>
      <c r="H168" s="374"/>
    </row>
    <row r="169" spans="1:8">
      <c r="A169" s="369" t="s">
        <v>1032</v>
      </c>
      <c r="B169" s="418" t="s">
        <v>332</v>
      </c>
      <c r="C169" s="42" t="s">
        <v>1128</v>
      </c>
      <c r="D169" s="42"/>
      <c r="E169" s="388"/>
      <c r="F169" s="378" t="s">
        <v>100</v>
      </c>
      <c r="G169" s="517">
        <v>200</v>
      </c>
      <c r="H169" s="374" t="s">
        <v>1129</v>
      </c>
    </row>
    <row r="170" spans="1:8">
      <c r="A170" s="369" t="s">
        <v>1032</v>
      </c>
      <c r="B170" s="418" t="s">
        <v>332</v>
      </c>
      <c r="C170" s="42" t="s">
        <v>1130</v>
      </c>
      <c r="D170" s="42"/>
      <c r="E170" s="388"/>
      <c r="F170" s="378" t="s">
        <v>100</v>
      </c>
      <c r="G170" s="517">
        <v>250</v>
      </c>
      <c r="H170" s="374" t="s">
        <v>1129</v>
      </c>
    </row>
    <row r="171" spans="1:8">
      <c r="A171" s="369" t="s">
        <v>1032</v>
      </c>
      <c r="B171" s="418" t="s">
        <v>332</v>
      </c>
      <c r="C171" s="42" t="s">
        <v>1131</v>
      </c>
      <c r="D171" s="42"/>
      <c r="E171" s="388"/>
      <c r="F171" s="378" t="s">
        <v>100</v>
      </c>
      <c r="G171" s="510">
        <v>400</v>
      </c>
      <c r="H171" s="374" t="s">
        <v>1129</v>
      </c>
    </row>
    <row r="172" spans="1:8">
      <c r="A172" s="369" t="s">
        <v>1032</v>
      </c>
      <c r="B172" s="418" t="s">
        <v>449</v>
      </c>
      <c r="C172" s="42" t="s">
        <v>1132</v>
      </c>
      <c r="D172" s="42"/>
      <c r="E172" s="388"/>
      <c r="F172" s="378"/>
      <c r="G172" s="510">
        <v>2000</v>
      </c>
      <c r="H172" s="374" t="s">
        <v>1133</v>
      </c>
    </row>
    <row r="173" spans="1:8" ht="22.5">
      <c r="A173" s="369" t="s">
        <v>1032</v>
      </c>
      <c r="B173" s="424" t="s">
        <v>1134</v>
      </c>
      <c r="C173" s="42"/>
      <c r="D173" s="42"/>
      <c r="E173" s="388"/>
      <c r="F173" s="378"/>
      <c r="G173" s="510">
        <v>4000</v>
      </c>
      <c r="H173" s="374" t="s">
        <v>1135</v>
      </c>
    </row>
    <row r="174" spans="1:8">
      <c r="A174" s="369" t="s">
        <v>1032</v>
      </c>
      <c r="B174" s="418" t="s">
        <v>573</v>
      </c>
      <c r="C174" s="42"/>
      <c r="D174" s="42"/>
      <c r="E174" s="388"/>
      <c r="F174" s="378"/>
      <c r="G174" s="510" t="s">
        <v>1136</v>
      </c>
      <c r="H174" s="374" t="s">
        <v>1137</v>
      </c>
    </row>
    <row r="175" spans="1:8">
      <c r="A175" s="369" t="s">
        <v>1032</v>
      </c>
      <c r="B175" s="418" t="s">
        <v>450</v>
      </c>
      <c r="C175" s="42"/>
      <c r="D175" s="42"/>
      <c r="E175" s="388"/>
      <c r="F175" s="378"/>
      <c r="G175" s="510">
        <v>500</v>
      </c>
      <c r="H175" s="374" t="s">
        <v>103</v>
      </c>
    </row>
    <row r="176" spans="1:8">
      <c r="A176" s="369" t="s">
        <v>1032</v>
      </c>
      <c r="B176" s="416"/>
      <c r="C176" s="416"/>
      <c r="D176" s="416"/>
      <c r="E176" s="416"/>
      <c r="F176" s="416"/>
      <c r="G176" s="417"/>
      <c r="H176" s="374"/>
    </row>
    <row r="177" spans="1:8">
      <c r="A177" s="369" t="s">
        <v>1032</v>
      </c>
      <c r="B177" s="425" t="s">
        <v>401</v>
      </c>
      <c r="C177" s="42" t="s">
        <v>1138</v>
      </c>
      <c r="D177" s="42"/>
      <c r="E177" s="388"/>
      <c r="F177" s="402" t="s">
        <v>100</v>
      </c>
      <c r="G177" s="510">
        <v>350</v>
      </c>
      <c r="H177" s="374" t="s">
        <v>1139</v>
      </c>
    </row>
    <row r="178" spans="1:8" ht="22.5">
      <c r="A178" s="369" t="s">
        <v>1032</v>
      </c>
      <c r="B178" s="418" t="s">
        <v>402</v>
      </c>
      <c r="C178" s="42"/>
      <c r="D178" s="42"/>
      <c r="E178" s="388"/>
      <c r="F178" s="402" t="s">
        <v>100</v>
      </c>
      <c r="G178" s="510">
        <v>150</v>
      </c>
      <c r="H178" s="374" t="s">
        <v>1139</v>
      </c>
    </row>
    <row r="179" spans="1:8" ht="22.5">
      <c r="A179" s="369" t="s">
        <v>1032</v>
      </c>
      <c r="B179" s="418" t="s">
        <v>403</v>
      </c>
      <c r="C179" s="42"/>
      <c r="D179" s="42"/>
      <c r="E179" s="388"/>
      <c r="F179" s="402" t="s">
        <v>100</v>
      </c>
      <c r="G179" s="510">
        <v>250</v>
      </c>
      <c r="H179" s="374" t="s">
        <v>1139</v>
      </c>
    </row>
    <row r="180" spans="1:8" ht="22.5">
      <c r="A180" s="369" t="s">
        <v>1032</v>
      </c>
      <c r="B180" s="418" t="s">
        <v>404</v>
      </c>
      <c r="C180" s="42"/>
      <c r="D180" s="42"/>
      <c r="E180" s="388"/>
      <c r="F180" s="402" t="s">
        <v>100</v>
      </c>
      <c r="G180" s="520">
        <v>60</v>
      </c>
      <c r="H180" s="374" t="s">
        <v>1139</v>
      </c>
    </row>
    <row r="181" spans="1:8">
      <c r="A181" s="369" t="s">
        <v>1032</v>
      </c>
      <c r="B181" s="380"/>
      <c r="C181" s="380"/>
      <c r="D181" s="380"/>
      <c r="E181" s="380"/>
      <c r="F181" s="380"/>
      <c r="G181" s="382"/>
      <c r="H181" s="374"/>
    </row>
    <row r="182" spans="1:8">
      <c r="A182" s="369" t="s">
        <v>1032</v>
      </c>
      <c r="B182" s="418" t="s">
        <v>336</v>
      </c>
      <c r="C182" s="426"/>
      <c r="D182" s="426"/>
      <c r="E182" s="427"/>
      <c r="F182" s="402" t="s">
        <v>100</v>
      </c>
      <c r="G182" s="517">
        <v>200</v>
      </c>
      <c r="H182" s="374" t="s">
        <v>1140</v>
      </c>
    </row>
    <row r="183" spans="1:8">
      <c r="A183" s="369" t="s">
        <v>1032</v>
      </c>
      <c r="B183" s="418" t="s">
        <v>337</v>
      </c>
      <c r="C183" s="426"/>
      <c r="D183" s="426"/>
      <c r="E183" s="427"/>
      <c r="F183" s="402" t="s">
        <v>100</v>
      </c>
      <c r="G183" s="517">
        <v>300</v>
      </c>
      <c r="H183" s="374" t="s">
        <v>1140</v>
      </c>
    </row>
    <row r="184" spans="1:8">
      <c r="A184" s="369" t="s">
        <v>1032</v>
      </c>
      <c r="B184" s="418" t="s">
        <v>338</v>
      </c>
      <c r="C184" s="426"/>
      <c r="D184" s="426"/>
      <c r="E184" s="427"/>
      <c r="F184" s="426" t="s">
        <v>19</v>
      </c>
      <c r="G184" s="517">
        <v>350</v>
      </c>
      <c r="H184" s="374" t="s">
        <v>1140</v>
      </c>
    </row>
    <row r="185" spans="1:8">
      <c r="A185" s="369" t="s">
        <v>1032</v>
      </c>
      <c r="B185" s="418" t="s">
        <v>339</v>
      </c>
      <c r="C185" s="426"/>
      <c r="D185" s="426"/>
      <c r="E185" s="427"/>
      <c r="F185" s="426" t="s">
        <v>100</v>
      </c>
      <c r="G185" s="517">
        <v>200</v>
      </c>
      <c r="H185" s="374" t="s">
        <v>1140</v>
      </c>
    </row>
    <row r="186" spans="1:8">
      <c r="A186" s="369" t="s">
        <v>1032</v>
      </c>
      <c r="B186" s="428"/>
      <c r="C186" s="429"/>
      <c r="D186" s="429"/>
      <c r="E186" s="430"/>
      <c r="F186" s="429"/>
      <c r="G186" s="521"/>
      <c r="H186" s="374"/>
    </row>
    <row r="187" spans="1:8">
      <c r="A187" s="369" t="s">
        <v>1032</v>
      </c>
      <c r="B187" s="383" t="s">
        <v>1141</v>
      </c>
      <c r="C187" s="431" t="s">
        <v>1142</v>
      </c>
      <c r="D187" s="431"/>
      <c r="E187" s="432"/>
      <c r="F187" s="378" t="s">
        <v>100</v>
      </c>
      <c r="G187" s="510">
        <v>35</v>
      </c>
      <c r="H187" s="374" t="s">
        <v>1143</v>
      </c>
    </row>
    <row r="188" spans="1:8">
      <c r="A188" s="369" t="s">
        <v>1032</v>
      </c>
      <c r="B188" s="383" t="s">
        <v>629</v>
      </c>
      <c r="C188" s="51" t="s">
        <v>1144</v>
      </c>
      <c r="D188" s="431"/>
      <c r="E188" s="432"/>
      <c r="F188" s="378" t="s">
        <v>100</v>
      </c>
      <c r="G188" s="510">
        <v>25</v>
      </c>
      <c r="H188" s="374" t="s">
        <v>1143</v>
      </c>
    </row>
    <row r="189" spans="1:8">
      <c r="A189" s="369" t="s">
        <v>1032</v>
      </c>
      <c r="B189" s="433"/>
      <c r="C189" s="434"/>
      <c r="D189" s="434"/>
      <c r="E189" s="435"/>
      <c r="F189" s="436"/>
      <c r="G189" s="522"/>
      <c r="H189" s="374"/>
    </row>
    <row r="190" spans="1:8">
      <c r="A190" s="369" t="s">
        <v>1032</v>
      </c>
      <c r="B190" s="383" t="s">
        <v>1145</v>
      </c>
      <c r="C190" s="431"/>
      <c r="D190" s="431"/>
      <c r="E190" s="432"/>
      <c r="F190" s="378" t="s">
        <v>100</v>
      </c>
      <c r="G190" s="510">
        <v>300</v>
      </c>
      <c r="H190" s="374" t="s">
        <v>1146</v>
      </c>
    </row>
    <row r="191" spans="1:8">
      <c r="A191" s="369" t="s">
        <v>1032</v>
      </c>
      <c r="B191" s="383" t="s">
        <v>510</v>
      </c>
      <c r="C191" s="431"/>
      <c r="D191" s="431"/>
      <c r="E191" s="432"/>
      <c r="F191" s="378" t="s">
        <v>100</v>
      </c>
      <c r="G191" s="510">
        <v>100</v>
      </c>
      <c r="H191" s="374" t="s">
        <v>1146</v>
      </c>
    </row>
    <row r="192" spans="1:8">
      <c r="A192" s="369" t="s">
        <v>1032</v>
      </c>
      <c r="B192" s="418" t="s">
        <v>1147</v>
      </c>
      <c r="C192" s="431"/>
      <c r="D192" s="431"/>
      <c r="E192" s="432"/>
      <c r="F192" s="378" t="s">
        <v>100</v>
      </c>
      <c r="G192" s="517">
        <v>2800</v>
      </c>
      <c r="H192" s="374" t="s">
        <v>1146</v>
      </c>
    </row>
    <row r="193" spans="1:8">
      <c r="A193" s="369" t="s">
        <v>1032</v>
      </c>
      <c r="B193" s="375" t="s">
        <v>447</v>
      </c>
      <c r="C193" s="431"/>
      <c r="D193" s="431"/>
      <c r="E193" s="432"/>
      <c r="F193" s="378" t="s">
        <v>100</v>
      </c>
      <c r="G193" s="510">
        <v>2800</v>
      </c>
      <c r="H193" s="374" t="s">
        <v>1146</v>
      </c>
    </row>
    <row r="194" spans="1:8">
      <c r="A194" s="369" t="s">
        <v>1032</v>
      </c>
      <c r="B194" s="437"/>
      <c r="C194" s="434"/>
      <c r="D194" s="434"/>
      <c r="E194" s="435"/>
      <c r="F194" s="436"/>
      <c r="G194" s="521"/>
      <c r="H194" s="374"/>
    </row>
    <row r="195" spans="1:8" ht="22.5">
      <c r="A195" s="369" t="s">
        <v>1032</v>
      </c>
      <c r="B195" s="438" t="s">
        <v>1148</v>
      </c>
      <c r="C195" s="439"/>
      <c r="D195" s="439"/>
      <c r="E195" s="440"/>
      <c r="F195" s="396" t="s">
        <v>100</v>
      </c>
      <c r="G195" s="523">
        <v>70</v>
      </c>
      <c r="H195" s="374" t="s">
        <v>1143</v>
      </c>
    </row>
    <row r="196" spans="1:8">
      <c r="A196" s="369" t="s">
        <v>1032</v>
      </c>
      <c r="B196" s="425" t="s">
        <v>406</v>
      </c>
      <c r="C196" s="42" t="s">
        <v>62</v>
      </c>
      <c r="D196" s="42"/>
      <c r="E196" s="388"/>
      <c r="F196" s="402" t="s">
        <v>100</v>
      </c>
      <c r="G196" s="510">
        <v>150</v>
      </c>
      <c r="H196" s="374" t="s">
        <v>1143</v>
      </c>
    </row>
    <row r="197" spans="1:8">
      <c r="A197" s="369" t="s">
        <v>1032</v>
      </c>
      <c r="B197" s="425" t="s">
        <v>406</v>
      </c>
      <c r="C197" s="42" t="s">
        <v>66</v>
      </c>
      <c r="D197" s="42"/>
      <c r="E197" s="388"/>
      <c r="F197" s="402" t="s">
        <v>100</v>
      </c>
      <c r="G197" s="510">
        <v>220</v>
      </c>
      <c r="H197" s="374" t="s">
        <v>1143</v>
      </c>
    </row>
    <row r="198" spans="1:8">
      <c r="A198" s="369" t="s">
        <v>1032</v>
      </c>
      <c r="B198" s="915"/>
      <c r="C198" s="915"/>
      <c r="D198" s="915"/>
      <c r="E198" s="915"/>
      <c r="F198" s="915"/>
      <c r="G198" s="915"/>
      <c r="H198" s="374"/>
    </row>
    <row r="199" spans="1:8" ht="23.25">
      <c r="A199" s="369" t="s">
        <v>1032</v>
      </c>
      <c r="B199" s="441" t="s">
        <v>407</v>
      </c>
      <c r="C199" s="442" t="s">
        <v>1149</v>
      </c>
      <c r="D199" s="442"/>
      <c r="E199" s="443"/>
      <c r="F199" s="444" t="s">
        <v>1119</v>
      </c>
      <c r="G199" s="510">
        <v>300</v>
      </c>
      <c r="H199" s="374"/>
    </row>
    <row r="200" spans="1:8">
      <c r="A200" s="369" t="s">
        <v>1032</v>
      </c>
      <c r="B200" s="445" t="s">
        <v>408</v>
      </c>
      <c r="C200" s="376"/>
      <c r="D200" s="446"/>
      <c r="E200" s="447"/>
      <c r="F200" s="448" t="s">
        <v>100</v>
      </c>
      <c r="G200" s="517">
        <v>2500</v>
      </c>
      <c r="H200" s="374" t="s">
        <v>1150</v>
      </c>
    </row>
    <row r="201" spans="1:8">
      <c r="A201" s="369" t="s">
        <v>1032</v>
      </c>
      <c r="B201" s="449"/>
      <c r="C201" s="450"/>
      <c r="D201" s="450"/>
      <c r="E201" s="451"/>
      <c r="F201" s="452"/>
      <c r="G201" s="521"/>
      <c r="H201" s="374"/>
    </row>
    <row r="202" spans="1:8">
      <c r="A202" s="369" t="s">
        <v>1032</v>
      </c>
      <c r="B202" s="441" t="s">
        <v>1151</v>
      </c>
      <c r="C202" s="376"/>
      <c r="D202" s="376"/>
      <c r="E202" s="377"/>
      <c r="F202" s="402" t="s">
        <v>544</v>
      </c>
      <c r="G202" s="517">
        <v>150</v>
      </c>
      <c r="H202" s="374"/>
    </row>
    <row r="203" spans="1:8">
      <c r="A203" s="369" t="s">
        <v>1032</v>
      </c>
      <c r="B203" s="441" t="s">
        <v>1152</v>
      </c>
      <c r="C203" s="376"/>
      <c r="D203" s="376"/>
      <c r="E203" s="377"/>
      <c r="F203" s="402" t="s">
        <v>544</v>
      </c>
      <c r="G203" s="517">
        <v>200</v>
      </c>
      <c r="H203" s="374"/>
    </row>
    <row r="204" spans="1:8" ht="34.5">
      <c r="A204" s="369" t="s">
        <v>1032</v>
      </c>
      <c r="B204" s="441" t="s">
        <v>1153</v>
      </c>
      <c r="C204" s="376"/>
      <c r="D204" s="376"/>
      <c r="E204" s="377"/>
      <c r="F204" s="402" t="s">
        <v>544</v>
      </c>
      <c r="G204" s="510">
        <v>60</v>
      </c>
      <c r="H204" s="374"/>
    </row>
    <row r="205" spans="1:8" ht="23.25">
      <c r="A205" s="369" t="s">
        <v>1032</v>
      </c>
      <c r="B205" s="441" t="s">
        <v>1154</v>
      </c>
      <c r="C205" s="376"/>
      <c r="D205" s="376"/>
      <c r="E205" s="377"/>
      <c r="F205" s="402" t="s">
        <v>544</v>
      </c>
      <c r="G205" s="510">
        <v>50</v>
      </c>
      <c r="H205" s="374"/>
    </row>
    <row r="206" spans="1:8">
      <c r="A206" s="369" t="s">
        <v>1032</v>
      </c>
      <c r="B206" s="453"/>
      <c r="C206" s="450"/>
      <c r="D206" s="450"/>
      <c r="E206" s="451"/>
      <c r="F206" s="452"/>
      <c r="G206" s="522"/>
      <c r="H206" s="374"/>
    </row>
    <row r="207" spans="1:8">
      <c r="A207" s="369" t="s">
        <v>1032</v>
      </c>
      <c r="B207" s="441" t="s">
        <v>405</v>
      </c>
      <c r="C207" s="376"/>
      <c r="D207" s="376"/>
      <c r="E207" s="377"/>
      <c r="F207" s="402" t="s">
        <v>1119</v>
      </c>
      <c r="G207" s="510">
        <v>20</v>
      </c>
      <c r="H207" s="374"/>
    </row>
    <row r="208" spans="1:8">
      <c r="A208" s="369" t="s">
        <v>1032</v>
      </c>
      <c r="B208" s="915"/>
      <c r="C208" s="915"/>
      <c r="D208" s="915"/>
      <c r="E208" s="915"/>
      <c r="F208" s="915"/>
      <c r="G208" s="915"/>
      <c r="H208" s="374"/>
    </row>
    <row r="209" spans="1:8">
      <c r="A209" s="369" t="s">
        <v>1032</v>
      </c>
      <c r="B209" s="449"/>
      <c r="C209" s="449"/>
      <c r="D209" s="449"/>
      <c r="E209" s="449"/>
      <c r="F209" s="449"/>
      <c r="G209" s="454"/>
      <c r="H209" s="374"/>
    </row>
    <row r="210" spans="1:8">
      <c r="A210" s="369" t="s">
        <v>1032</v>
      </c>
      <c r="B210" s="424" t="s">
        <v>410</v>
      </c>
      <c r="C210" s="431"/>
      <c r="D210" s="431"/>
      <c r="E210" s="432"/>
      <c r="F210" s="378" t="s">
        <v>100</v>
      </c>
      <c r="G210" s="517">
        <v>100</v>
      </c>
      <c r="H210" s="374" t="s">
        <v>1155</v>
      </c>
    </row>
    <row r="211" spans="1:8" ht="22.5">
      <c r="A211" s="369" t="s">
        <v>1032</v>
      </c>
      <c r="B211" s="455" t="s">
        <v>411</v>
      </c>
      <c r="C211" s="456"/>
      <c r="D211" s="456"/>
      <c r="E211" s="457"/>
      <c r="F211" s="458" t="s">
        <v>100</v>
      </c>
      <c r="G211" s="517">
        <v>120</v>
      </c>
      <c r="H211" s="374" t="s">
        <v>1155</v>
      </c>
    </row>
    <row r="212" spans="1:8">
      <c r="A212" s="369" t="s">
        <v>1032</v>
      </c>
      <c r="B212" s="459" t="s">
        <v>412</v>
      </c>
      <c r="C212" s="460"/>
      <c r="D212" s="460"/>
      <c r="E212" s="461"/>
      <c r="F212" s="378" t="s">
        <v>100</v>
      </c>
      <c r="G212" s="517">
        <v>100</v>
      </c>
      <c r="H212" s="374" t="s">
        <v>1155</v>
      </c>
    </row>
    <row r="213" spans="1:8">
      <c r="A213" s="369" t="s">
        <v>1032</v>
      </c>
      <c r="B213" s="441" t="s">
        <v>413</v>
      </c>
      <c r="C213" s="376"/>
      <c r="D213" s="376"/>
      <c r="E213" s="377"/>
      <c r="F213" s="402" t="s">
        <v>547</v>
      </c>
      <c r="G213" s="517">
        <v>100</v>
      </c>
      <c r="H213" s="374" t="s">
        <v>1155</v>
      </c>
    </row>
    <row r="214" spans="1:8">
      <c r="A214" s="369" t="s">
        <v>1032</v>
      </c>
      <c r="B214" s="441" t="s">
        <v>414</v>
      </c>
      <c r="C214" s="376"/>
      <c r="D214" s="376"/>
      <c r="E214" s="377"/>
      <c r="F214" s="402" t="s">
        <v>547</v>
      </c>
      <c r="G214" s="517">
        <v>130</v>
      </c>
      <c r="H214" s="374" t="s">
        <v>1155</v>
      </c>
    </row>
    <row r="215" spans="1:8">
      <c r="A215" s="369" t="s">
        <v>1032</v>
      </c>
      <c r="B215" s="449"/>
      <c r="C215" s="449"/>
      <c r="D215" s="449"/>
      <c r="E215" s="449"/>
      <c r="F215" s="449"/>
      <c r="G215" s="454"/>
      <c r="H215" s="374"/>
    </row>
    <row r="216" spans="1:8">
      <c r="A216" s="369" t="s">
        <v>1032</v>
      </c>
      <c r="B216" s="418" t="s">
        <v>415</v>
      </c>
      <c r="C216" s="42"/>
      <c r="D216" s="42"/>
      <c r="E216" s="388"/>
      <c r="F216" s="402" t="s">
        <v>100</v>
      </c>
      <c r="G216" s="510">
        <v>120</v>
      </c>
      <c r="H216" s="374" t="s">
        <v>1156</v>
      </c>
    </row>
    <row r="217" spans="1:8">
      <c r="A217" s="369" t="s">
        <v>1032</v>
      </c>
      <c r="B217" s="418" t="s">
        <v>416</v>
      </c>
      <c r="C217" s="42"/>
      <c r="D217" s="42"/>
      <c r="E217" s="388"/>
      <c r="F217" s="402" t="s">
        <v>100</v>
      </c>
      <c r="G217" s="510">
        <v>60</v>
      </c>
      <c r="H217" s="374" t="s">
        <v>1156</v>
      </c>
    </row>
    <row r="218" spans="1:8" ht="22.5">
      <c r="A218" s="369" t="s">
        <v>1032</v>
      </c>
      <c r="B218" s="418" t="s">
        <v>417</v>
      </c>
      <c r="C218" s="42"/>
      <c r="D218" s="42"/>
      <c r="E218" s="388"/>
      <c r="F218" s="402" t="s">
        <v>100</v>
      </c>
      <c r="G218" s="510">
        <f>G216+G217</f>
        <v>180</v>
      </c>
      <c r="H218" s="374" t="s">
        <v>1156</v>
      </c>
    </row>
    <row r="219" spans="1:8" ht="33.75">
      <c r="A219" s="369" t="s">
        <v>1032</v>
      </c>
      <c r="B219" s="418" t="s">
        <v>418</v>
      </c>
      <c r="C219" s="42"/>
      <c r="D219" s="42"/>
      <c r="E219" s="388"/>
      <c r="F219" s="402" t="s">
        <v>100</v>
      </c>
      <c r="G219" s="510">
        <f>G216+G217+G234</f>
        <v>210</v>
      </c>
      <c r="H219" s="374" t="s">
        <v>1156</v>
      </c>
    </row>
    <row r="220" spans="1:8" ht="22.5">
      <c r="A220" s="369" t="s">
        <v>1032</v>
      </c>
      <c r="B220" s="418" t="s">
        <v>419</v>
      </c>
      <c r="C220" s="42"/>
      <c r="D220" s="42"/>
      <c r="E220" s="388"/>
      <c r="F220" s="402" t="s">
        <v>100</v>
      </c>
      <c r="G220" s="510">
        <f>G216+G234+G237+G211</f>
        <v>420</v>
      </c>
      <c r="H220" s="374" t="s">
        <v>1156</v>
      </c>
    </row>
    <row r="221" spans="1:8">
      <c r="A221" s="369" t="s">
        <v>1032</v>
      </c>
      <c r="B221" s="418" t="s">
        <v>420</v>
      </c>
      <c r="C221" s="42"/>
      <c r="D221" s="42"/>
      <c r="E221" s="388"/>
      <c r="F221" s="402" t="s">
        <v>100</v>
      </c>
      <c r="G221" s="510">
        <v>150</v>
      </c>
      <c r="H221" s="374" t="s">
        <v>1156</v>
      </c>
    </row>
    <row r="222" spans="1:8">
      <c r="A222" s="369" t="s">
        <v>1032</v>
      </c>
      <c r="B222" s="418" t="s">
        <v>421</v>
      </c>
      <c r="C222" s="42"/>
      <c r="D222" s="42"/>
      <c r="E222" s="388"/>
      <c r="F222" s="402" t="s">
        <v>100</v>
      </c>
      <c r="G222" s="510">
        <v>30</v>
      </c>
      <c r="H222" s="374" t="s">
        <v>1156</v>
      </c>
    </row>
    <row r="223" spans="1:8">
      <c r="A223" s="369" t="s">
        <v>1032</v>
      </c>
      <c r="B223" s="418" t="s">
        <v>422</v>
      </c>
      <c r="C223" s="42"/>
      <c r="D223" s="42"/>
      <c r="E223" s="388"/>
      <c r="F223" s="402" t="s">
        <v>100</v>
      </c>
      <c r="G223" s="510">
        <f>G221+G222</f>
        <v>180</v>
      </c>
      <c r="H223" s="374" t="s">
        <v>1156</v>
      </c>
    </row>
    <row r="224" spans="1:8" ht="22.5">
      <c r="A224" s="369" t="s">
        <v>1032</v>
      </c>
      <c r="B224" s="418" t="s">
        <v>423</v>
      </c>
      <c r="C224" s="42"/>
      <c r="D224" s="42"/>
      <c r="E224" s="388"/>
      <c r="F224" s="402" t="s">
        <v>100</v>
      </c>
      <c r="G224" s="510">
        <f>G221+G222+G237+G238</f>
        <v>380</v>
      </c>
      <c r="H224" s="374" t="s">
        <v>1156</v>
      </c>
    </row>
    <row r="225" spans="1:8">
      <c r="A225" s="369" t="s">
        <v>1032</v>
      </c>
      <c r="B225" s="418" t="s">
        <v>424</v>
      </c>
      <c r="C225" s="42"/>
      <c r="D225" s="42"/>
      <c r="E225" s="388"/>
      <c r="F225" s="402" t="s">
        <v>100</v>
      </c>
      <c r="G225" s="510">
        <v>120</v>
      </c>
      <c r="H225" s="374" t="s">
        <v>1156</v>
      </c>
    </row>
    <row r="226" spans="1:8" ht="22.5">
      <c r="A226" s="369" t="s">
        <v>1032</v>
      </c>
      <c r="B226" s="462" t="s">
        <v>425</v>
      </c>
      <c r="C226" s="463"/>
      <c r="D226" s="463"/>
      <c r="E226" s="464"/>
      <c r="F226" s="402" t="s">
        <v>100</v>
      </c>
      <c r="G226" s="517">
        <v>90</v>
      </c>
      <c r="H226" s="374" t="s">
        <v>1156</v>
      </c>
    </row>
    <row r="227" spans="1:8">
      <c r="A227" s="369" t="s">
        <v>1032</v>
      </c>
      <c r="B227" s="441" t="s">
        <v>426</v>
      </c>
      <c r="C227" s="376"/>
      <c r="D227" s="376"/>
      <c r="E227" s="377"/>
      <c r="F227" s="402" t="s">
        <v>100</v>
      </c>
      <c r="G227" s="517">
        <v>100</v>
      </c>
      <c r="H227" s="374" t="s">
        <v>1156</v>
      </c>
    </row>
    <row r="228" spans="1:8">
      <c r="A228" s="369" t="s">
        <v>1032</v>
      </c>
      <c r="B228" s="441" t="s">
        <v>427</v>
      </c>
      <c r="C228" s="376"/>
      <c r="D228" s="376"/>
      <c r="E228" s="377"/>
      <c r="F228" s="402" t="s">
        <v>100</v>
      </c>
      <c r="G228" s="517">
        <v>120</v>
      </c>
      <c r="H228" s="374" t="s">
        <v>1156</v>
      </c>
    </row>
    <row r="229" spans="1:8">
      <c r="A229" s="369" t="s">
        <v>1032</v>
      </c>
      <c r="B229" s="441" t="s">
        <v>428</v>
      </c>
      <c r="C229" s="376"/>
      <c r="D229" s="376"/>
      <c r="E229" s="377"/>
      <c r="F229" s="402" t="s">
        <v>100</v>
      </c>
      <c r="G229" s="517">
        <v>300</v>
      </c>
      <c r="H229" s="374" t="s">
        <v>1156</v>
      </c>
    </row>
    <row r="230" spans="1:8">
      <c r="A230" s="369" t="s">
        <v>1032</v>
      </c>
      <c r="B230" s="441" t="s">
        <v>429</v>
      </c>
      <c r="C230" s="376"/>
      <c r="D230" s="376"/>
      <c r="E230" s="377"/>
      <c r="F230" s="402" t="s">
        <v>100</v>
      </c>
      <c r="G230" s="517">
        <v>240</v>
      </c>
      <c r="H230" s="374" t="s">
        <v>1156</v>
      </c>
    </row>
    <row r="231" spans="1:8">
      <c r="A231" s="369" t="s">
        <v>1032</v>
      </c>
      <c r="B231" s="441" t="s">
        <v>430</v>
      </c>
      <c r="C231" s="376"/>
      <c r="D231" s="376"/>
      <c r="E231" s="377"/>
      <c r="F231" s="402" t="s">
        <v>100</v>
      </c>
      <c r="G231" s="517">
        <v>420</v>
      </c>
      <c r="H231" s="374" t="s">
        <v>1156</v>
      </c>
    </row>
    <row r="232" spans="1:8">
      <c r="A232" s="369" t="s">
        <v>1032</v>
      </c>
      <c r="B232" s="418" t="s">
        <v>431</v>
      </c>
      <c r="C232" s="42"/>
      <c r="D232" s="42"/>
      <c r="E232" s="388"/>
      <c r="F232" s="402" t="s">
        <v>100</v>
      </c>
      <c r="G232" s="510">
        <v>200</v>
      </c>
      <c r="H232" s="374" t="s">
        <v>1156</v>
      </c>
    </row>
    <row r="233" spans="1:8">
      <c r="A233" s="369" t="s">
        <v>1032</v>
      </c>
      <c r="B233" s="449"/>
      <c r="C233" s="449"/>
      <c r="D233" s="449"/>
      <c r="E233" s="449"/>
      <c r="F233" s="449"/>
      <c r="G233" s="454"/>
      <c r="H233" s="374"/>
    </row>
    <row r="234" spans="1:8" ht="23.25">
      <c r="A234" s="369" t="s">
        <v>1032</v>
      </c>
      <c r="B234" s="441" t="s">
        <v>1157</v>
      </c>
      <c r="C234" s="376"/>
      <c r="D234" s="376"/>
      <c r="E234" s="377"/>
      <c r="F234" s="402"/>
      <c r="G234" s="517">
        <v>30</v>
      </c>
      <c r="H234" s="374" t="s">
        <v>1158</v>
      </c>
    </row>
    <row r="235" spans="1:8" ht="23.25">
      <c r="A235" s="369" t="s">
        <v>1032</v>
      </c>
      <c r="B235" s="441" t="s">
        <v>1159</v>
      </c>
      <c r="C235" s="376"/>
      <c r="D235" s="376"/>
      <c r="E235" s="377"/>
      <c r="F235" s="402"/>
      <c r="G235" s="517">
        <v>40</v>
      </c>
      <c r="H235" s="374" t="s">
        <v>1158</v>
      </c>
    </row>
    <row r="236" spans="1:8">
      <c r="A236" s="369" t="s">
        <v>1032</v>
      </c>
      <c r="B236" s="380"/>
      <c r="C236" s="380"/>
      <c r="D236" s="380"/>
      <c r="E236" s="380"/>
      <c r="F236" s="380"/>
      <c r="G236" s="382"/>
      <c r="H236" s="374"/>
    </row>
    <row r="237" spans="1:8">
      <c r="A237" s="369" t="s">
        <v>1032</v>
      </c>
      <c r="B237" s="418" t="s">
        <v>436</v>
      </c>
      <c r="C237" s="42"/>
      <c r="D237" s="42"/>
      <c r="E237" s="388"/>
      <c r="F237" s="378" t="s">
        <v>100</v>
      </c>
      <c r="G237" s="510">
        <v>150</v>
      </c>
      <c r="H237" s="374" t="s">
        <v>1156</v>
      </c>
    </row>
    <row r="238" spans="1:8">
      <c r="A238" s="369" t="s">
        <v>1032</v>
      </c>
      <c r="B238" s="418" t="s">
        <v>437</v>
      </c>
      <c r="C238" s="42"/>
      <c r="D238" s="42"/>
      <c r="E238" s="388"/>
      <c r="F238" s="402" t="s">
        <v>100</v>
      </c>
      <c r="G238" s="510">
        <v>50</v>
      </c>
      <c r="H238" s="374" t="s">
        <v>1156</v>
      </c>
    </row>
    <row r="239" spans="1:8">
      <c r="A239" s="369"/>
      <c r="B239" s="418" t="s">
        <v>438</v>
      </c>
      <c r="C239" s="42"/>
      <c r="D239" s="42"/>
      <c r="E239" s="388"/>
      <c r="F239" s="402" t="s">
        <v>100</v>
      </c>
      <c r="G239" s="510">
        <f>G237+G238</f>
        <v>200</v>
      </c>
      <c r="H239" s="374" t="s">
        <v>1156</v>
      </c>
    </row>
    <row r="240" spans="1:8">
      <c r="A240" s="369" t="s">
        <v>1032</v>
      </c>
      <c r="B240" s="398"/>
      <c r="C240" s="398"/>
      <c r="D240" s="398"/>
      <c r="E240" s="398"/>
      <c r="F240" s="398"/>
      <c r="G240" s="400"/>
      <c r="H240" s="374" t="s">
        <v>1156</v>
      </c>
    </row>
    <row r="241" spans="1:8">
      <c r="A241" s="369" t="s">
        <v>1032</v>
      </c>
      <c r="B241" s="418" t="s">
        <v>439</v>
      </c>
      <c r="C241" s="42"/>
      <c r="D241" s="42"/>
      <c r="E241" s="388"/>
      <c r="F241" s="402" t="s">
        <v>100</v>
      </c>
      <c r="G241" s="510">
        <v>120</v>
      </c>
      <c r="H241" s="374" t="s">
        <v>1156</v>
      </c>
    </row>
    <row r="242" spans="1:8">
      <c r="A242" s="369" t="s">
        <v>1032</v>
      </c>
      <c r="B242" s="418" t="s">
        <v>440</v>
      </c>
      <c r="C242" s="42"/>
      <c r="D242" s="42"/>
      <c r="E242" s="388"/>
      <c r="F242" s="402" t="s">
        <v>547</v>
      </c>
      <c r="G242" s="510">
        <v>120</v>
      </c>
      <c r="H242" s="374" t="s">
        <v>1156</v>
      </c>
    </row>
    <row r="243" spans="1:8">
      <c r="A243" s="369" t="s">
        <v>1032</v>
      </c>
      <c r="B243" s="418" t="s">
        <v>1160</v>
      </c>
      <c r="C243" s="42"/>
      <c r="D243" s="42"/>
      <c r="E243" s="388"/>
      <c r="F243" s="402" t="s">
        <v>547</v>
      </c>
      <c r="G243" s="510">
        <f>120+30</f>
        <v>150</v>
      </c>
      <c r="H243" s="374" t="s">
        <v>1156</v>
      </c>
    </row>
    <row r="244" spans="1:8">
      <c r="A244" s="369" t="s">
        <v>1032</v>
      </c>
      <c r="B244" s="418" t="s">
        <v>441</v>
      </c>
      <c r="C244" s="42"/>
      <c r="D244" s="42"/>
      <c r="E244" s="388"/>
      <c r="F244" s="378" t="s">
        <v>100</v>
      </c>
      <c r="G244" s="510">
        <v>150</v>
      </c>
      <c r="H244" s="374" t="s">
        <v>1156</v>
      </c>
    </row>
    <row r="245" spans="1:8" ht="23.25">
      <c r="A245" s="369" t="s">
        <v>1032</v>
      </c>
      <c r="B245" s="418" t="s">
        <v>442</v>
      </c>
      <c r="C245" s="42"/>
      <c r="D245" s="42"/>
      <c r="E245" s="388"/>
      <c r="F245" s="402" t="s">
        <v>100</v>
      </c>
      <c r="G245" s="517">
        <v>100</v>
      </c>
      <c r="H245" s="374" t="s">
        <v>1161</v>
      </c>
    </row>
    <row r="246" spans="1:8">
      <c r="A246" s="369" t="s">
        <v>1032</v>
      </c>
      <c r="B246" s="418" t="s">
        <v>443</v>
      </c>
      <c r="C246" s="42"/>
      <c r="D246" s="42"/>
      <c r="E246" s="388"/>
      <c r="F246" s="402" t="s">
        <v>100</v>
      </c>
      <c r="G246" s="510">
        <v>100</v>
      </c>
      <c r="H246" s="374" t="s">
        <v>1156</v>
      </c>
    </row>
    <row r="247" spans="1:8">
      <c r="A247" s="369" t="s">
        <v>1032</v>
      </c>
      <c r="B247" s="437"/>
      <c r="C247" s="428"/>
      <c r="D247" s="428"/>
      <c r="E247" s="465"/>
      <c r="F247" s="466"/>
      <c r="G247" s="524"/>
      <c r="H247" s="374"/>
    </row>
    <row r="248" spans="1:8">
      <c r="A248" s="369" t="s">
        <v>1032</v>
      </c>
      <c r="B248" s="467" t="s">
        <v>444</v>
      </c>
      <c r="C248" s="468"/>
      <c r="D248" s="468"/>
      <c r="E248" s="469"/>
      <c r="F248" s="470" t="s">
        <v>100</v>
      </c>
      <c r="G248" s="525">
        <v>200</v>
      </c>
      <c r="H248" s="374" t="s">
        <v>1155</v>
      </c>
    </row>
    <row r="249" spans="1:8" ht="22.5">
      <c r="A249" s="369" t="s">
        <v>1032</v>
      </c>
      <c r="B249" s="471" t="s">
        <v>445</v>
      </c>
      <c r="C249" s="472"/>
      <c r="D249" s="472"/>
      <c r="E249" s="473"/>
      <c r="F249" s="470" t="s">
        <v>100</v>
      </c>
      <c r="G249" s="526">
        <v>300</v>
      </c>
      <c r="H249" s="374" t="s">
        <v>1155</v>
      </c>
    </row>
    <row r="250" spans="1:8">
      <c r="A250" s="369" t="s">
        <v>1032</v>
      </c>
      <c r="B250" s="504" t="s">
        <v>1162</v>
      </c>
      <c r="C250" s="431" t="s">
        <v>1163</v>
      </c>
      <c r="D250" s="527">
        <v>70</v>
      </c>
      <c r="E250" s="528" t="s">
        <v>19</v>
      </c>
      <c r="F250" s="378"/>
      <c r="G250" s="505">
        <v>40</v>
      </c>
      <c r="H250" s="374" t="s">
        <v>1164</v>
      </c>
    </row>
    <row r="251" spans="1:8">
      <c r="A251" s="369" t="s">
        <v>1032</v>
      </c>
      <c r="B251" s="504" t="s">
        <v>1162</v>
      </c>
      <c r="C251" s="422" t="s">
        <v>1165</v>
      </c>
      <c r="D251" s="422">
        <v>90</v>
      </c>
      <c r="E251" s="422" t="s">
        <v>19</v>
      </c>
      <c r="F251" s="422"/>
      <c r="G251" s="505">
        <v>40</v>
      </c>
      <c r="H251" s="374" t="s">
        <v>1164</v>
      </c>
    </row>
    <row r="345" spans="9:9">
      <c r="I345" s="136"/>
    </row>
  </sheetData>
  <mergeCells count="2">
    <mergeCell ref="B198:G198"/>
    <mergeCell ref="B208:G208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3AD1-AE79-44EE-99E6-3E21615BAEE1}">
  <dimension ref="B1:K374"/>
  <sheetViews>
    <sheetView topLeftCell="A184" workbookViewId="0">
      <selection activeCell="B258" sqref="B258"/>
    </sheetView>
  </sheetViews>
  <sheetFormatPr defaultRowHeight="15"/>
  <cols>
    <col min="2" max="2" width="36.85546875" customWidth="1"/>
    <col min="3" max="3" width="12.85546875" customWidth="1"/>
    <col min="4" max="4" width="9.85546875" customWidth="1"/>
    <col min="5" max="5" width="7.5703125" customWidth="1"/>
    <col min="6" max="6" width="8.28515625" customWidth="1"/>
    <col min="7" max="7" width="9.5703125" customWidth="1"/>
    <col min="8" max="8" width="5.140625" customWidth="1"/>
    <col min="9" max="9" width="14" bestFit="1" customWidth="1"/>
    <col min="258" max="258" width="36.85546875" customWidth="1"/>
    <col min="259" max="259" width="12.85546875" customWidth="1"/>
    <col min="260" max="260" width="9.85546875" customWidth="1"/>
    <col min="261" max="261" width="7.5703125" customWidth="1"/>
    <col min="262" max="262" width="8.28515625" customWidth="1"/>
    <col min="263" max="263" width="9.5703125" customWidth="1"/>
    <col min="264" max="264" width="5.140625" customWidth="1"/>
    <col min="265" max="265" width="14" bestFit="1" customWidth="1"/>
    <col min="514" max="514" width="36.85546875" customWidth="1"/>
    <col min="515" max="515" width="12.85546875" customWidth="1"/>
    <col min="516" max="516" width="9.85546875" customWidth="1"/>
    <col min="517" max="517" width="7.5703125" customWidth="1"/>
    <col min="518" max="518" width="8.28515625" customWidth="1"/>
    <col min="519" max="519" width="9.5703125" customWidth="1"/>
    <col min="520" max="520" width="5.140625" customWidth="1"/>
    <col min="521" max="521" width="14" bestFit="1" customWidth="1"/>
    <col min="770" max="770" width="36.85546875" customWidth="1"/>
    <col min="771" max="771" width="12.85546875" customWidth="1"/>
    <col min="772" max="772" width="9.85546875" customWidth="1"/>
    <col min="773" max="773" width="7.5703125" customWidth="1"/>
    <col min="774" max="774" width="8.28515625" customWidth="1"/>
    <col min="775" max="775" width="9.5703125" customWidth="1"/>
    <col min="776" max="776" width="5.140625" customWidth="1"/>
    <col min="777" max="777" width="14" bestFit="1" customWidth="1"/>
    <col min="1026" max="1026" width="36.85546875" customWidth="1"/>
    <col min="1027" max="1027" width="12.85546875" customWidth="1"/>
    <col min="1028" max="1028" width="9.85546875" customWidth="1"/>
    <col min="1029" max="1029" width="7.5703125" customWidth="1"/>
    <col min="1030" max="1030" width="8.28515625" customWidth="1"/>
    <col min="1031" max="1031" width="9.5703125" customWidth="1"/>
    <col min="1032" max="1032" width="5.140625" customWidth="1"/>
    <col min="1033" max="1033" width="14" bestFit="1" customWidth="1"/>
    <col min="1282" max="1282" width="36.85546875" customWidth="1"/>
    <col min="1283" max="1283" width="12.85546875" customWidth="1"/>
    <col min="1284" max="1284" width="9.85546875" customWidth="1"/>
    <col min="1285" max="1285" width="7.5703125" customWidth="1"/>
    <col min="1286" max="1286" width="8.28515625" customWidth="1"/>
    <col min="1287" max="1287" width="9.5703125" customWidth="1"/>
    <col min="1288" max="1288" width="5.140625" customWidth="1"/>
    <col min="1289" max="1289" width="14" bestFit="1" customWidth="1"/>
    <col min="1538" max="1538" width="36.85546875" customWidth="1"/>
    <col min="1539" max="1539" width="12.85546875" customWidth="1"/>
    <col min="1540" max="1540" width="9.85546875" customWidth="1"/>
    <col min="1541" max="1541" width="7.5703125" customWidth="1"/>
    <col min="1542" max="1542" width="8.28515625" customWidth="1"/>
    <col min="1543" max="1543" width="9.5703125" customWidth="1"/>
    <col min="1544" max="1544" width="5.140625" customWidth="1"/>
    <col min="1545" max="1545" width="14" bestFit="1" customWidth="1"/>
    <col min="1794" max="1794" width="36.85546875" customWidth="1"/>
    <col min="1795" max="1795" width="12.85546875" customWidth="1"/>
    <col min="1796" max="1796" width="9.85546875" customWidth="1"/>
    <col min="1797" max="1797" width="7.5703125" customWidth="1"/>
    <col min="1798" max="1798" width="8.28515625" customWidth="1"/>
    <col min="1799" max="1799" width="9.5703125" customWidth="1"/>
    <col min="1800" max="1800" width="5.140625" customWidth="1"/>
    <col min="1801" max="1801" width="14" bestFit="1" customWidth="1"/>
    <col min="2050" max="2050" width="36.85546875" customWidth="1"/>
    <col min="2051" max="2051" width="12.85546875" customWidth="1"/>
    <col min="2052" max="2052" width="9.85546875" customWidth="1"/>
    <col min="2053" max="2053" width="7.5703125" customWidth="1"/>
    <col min="2054" max="2054" width="8.28515625" customWidth="1"/>
    <col min="2055" max="2055" width="9.5703125" customWidth="1"/>
    <col min="2056" max="2056" width="5.140625" customWidth="1"/>
    <col min="2057" max="2057" width="14" bestFit="1" customWidth="1"/>
    <col min="2306" max="2306" width="36.85546875" customWidth="1"/>
    <col min="2307" max="2307" width="12.85546875" customWidth="1"/>
    <col min="2308" max="2308" width="9.85546875" customWidth="1"/>
    <col min="2309" max="2309" width="7.5703125" customWidth="1"/>
    <col min="2310" max="2310" width="8.28515625" customWidth="1"/>
    <col min="2311" max="2311" width="9.5703125" customWidth="1"/>
    <col min="2312" max="2312" width="5.140625" customWidth="1"/>
    <col min="2313" max="2313" width="14" bestFit="1" customWidth="1"/>
    <col min="2562" max="2562" width="36.85546875" customWidth="1"/>
    <col min="2563" max="2563" width="12.85546875" customWidth="1"/>
    <col min="2564" max="2564" width="9.85546875" customWidth="1"/>
    <col min="2565" max="2565" width="7.5703125" customWidth="1"/>
    <col min="2566" max="2566" width="8.28515625" customWidth="1"/>
    <col min="2567" max="2567" width="9.5703125" customWidth="1"/>
    <col min="2568" max="2568" width="5.140625" customWidth="1"/>
    <col min="2569" max="2569" width="14" bestFit="1" customWidth="1"/>
    <col min="2818" max="2818" width="36.85546875" customWidth="1"/>
    <col min="2819" max="2819" width="12.85546875" customWidth="1"/>
    <col min="2820" max="2820" width="9.85546875" customWidth="1"/>
    <col min="2821" max="2821" width="7.5703125" customWidth="1"/>
    <col min="2822" max="2822" width="8.28515625" customWidth="1"/>
    <col min="2823" max="2823" width="9.5703125" customWidth="1"/>
    <col min="2824" max="2824" width="5.140625" customWidth="1"/>
    <col min="2825" max="2825" width="14" bestFit="1" customWidth="1"/>
    <col min="3074" max="3074" width="36.85546875" customWidth="1"/>
    <col min="3075" max="3075" width="12.85546875" customWidth="1"/>
    <col min="3076" max="3076" width="9.85546875" customWidth="1"/>
    <col min="3077" max="3077" width="7.5703125" customWidth="1"/>
    <col min="3078" max="3078" width="8.28515625" customWidth="1"/>
    <col min="3079" max="3079" width="9.5703125" customWidth="1"/>
    <col min="3080" max="3080" width="5.140625" customWidth="1"/>
    <col min="3081" max="3081" width="14" bestFit="1" customWidth="1"/>
    <col min="3330" max="3330" width="36.85546875" customWidth="1"/>
    <col min="3331" max="3331" width="12.85546875" customWidth="1"/>
    <col min="3332" max="3332" width="9.85546875" customWidth="1"/>
    <col min="3333" max="3333" width="7.5703125" customWidth="1"/>
    <col min="3334" max="3334" width="8.28515625" customWidth="1"/>
    <col min="3335" max="3335" width="9.5703125" customWidth="1"/>
    <col min="3336" max="3336" width="5.140625" customWidth="1"/>
    <col min="3337" max="3337" width="14" bestFit="1" customWidth="1"/>
    <col min="3586" max="3586" width="36.85546875" customWidth="1"/>
    <col min="3587" max="3587" width="12.85546875" customWidth="1"/>
    <col min="3588" max="3588" width="9.85546875" customWidth="1"/>
    <col min="3589" max="3589" width="7.5703125" customWidth="1"/>
    <col min="3590" max="3590" width="8.28515625" customWidth="1"/>
    <col min="3591" max="3591" width="9.5703125" customWidth="1"/>
    <col min="3592" max="3592" width="5.140625" customWidth="1"/>
    <col min="3593" max="3593" width="14" bestFit="1" customWidth="1"/>
    <col min="3842" max="3842" width="36.85546875" customWidth="1"/>
    <col min="3843" max="3843" width="12.85546875" customWidth="1"/>
    <col min="3844" max="3844" width="9.85546875" customWidth="1"/>
    <col min="3845" max="3845" width="7.5703125" customWidth="1"/>
    <col min="3846" max="3846" width="8.28515625" customWidth="1"/>
    <col min="3847" max="3847" width="9.5703125" customWidth="1"/>
    <col min="3848" max="3848" width="5.140625" customWidth="1"/>
    <col min="3849" max="3849" width="14" bestFit="1" customWidth="1"/>
    <col min="4098" max="4098" width="36.85546875" customWidth="1"/>
    <col min="4099" max="4099" width="12.85546875" customWidth="1"/>
    <col min="4100" max="4100" width="9.85546875" customWidth="1"/>
    <col min="4101" max="4101" width="7.5703125" customWidth="1"/>
    <col min="4102" max="4102" width="8.28515625" customWidth="1"/>
    <col min="4103" max="4103" width="9.5703125" customWidth="1"/>
    <col min="4104" max="4104" width="5.140625" customWidth="1"/>
    <col min="4105" max="4105" width="14" bestFit="1" customWidth="1"/>
    <col min="4354" max="4354" width="36.85546875" customWidth="1"/>
    <col min="4355" max="4355" width="12.85546875" customWidth="1"/>
    <col min="4356" max="4356" width="9.85546875" customWidth="1"/>
    <col min="4357" max="4357" width="7.5703125" customWidth="1"/>
    <col min="4358" max="4358" width="8.28515625" customWidth="1"/>
    <col min="4359" max="4359" width="9.5703125" customWidth="1"/>
    <col min="4360" max="4360" width="5.140625" customWidth="1"/>
    <col min="4361" max="4361" width="14" bestFit="1" customWidth="1"/>
    <col min="4610" max="4610" width="36.85546875" customWidth="1"/>
    <col min="4611" max="4611" width="12.85546875" customWidth="1"/>
    <col min="4612" max="4612" width="9.85546875" customWidth="1"/>
    <col min="4613" max="4613" width="7.5703125" customWidth="1"/>
    <col min="4614" max="4614" width="8.28515625" customWidth="1"/>
    <col min="4615" max="4615" width="9.5703125" customWidth="1"/>
    <col min="4616" max="4616" width="5.140625" customWidth="1"/>
    <col min="4617" max="4617" width="14" bestFit="1" customWidth="1"/>
    <col min="4866" max="4866" width="36.85546875" customWidth="1"/>
    <col min="4867" max="4867" width="12.85546875" customWidth="1"/>
    <col min="4868" max="4868" width="9.85546875" customWidth="1"/>
    <col min="4869" max="4869" width="7.5703125" customWidth="1"/>
    <col min="4870" max="4870" width="8.28515625" customWidth="1"/>
    <col min="4871" max="4871" width="9.5703125" customWidth="1"/>
    <col min="4872" max="4872" width="5.140625" customWidth="1"/>
    <col min="4873" max="4873" width="14" bestFit="1" customWidth="1"/>
    <col min="5122" max="5122" width="36.85546875" customWidth="1"/>
    <col min="5123" max="5123" width="12.85546875" customWidth="1"/>
    <col min="5124" max="5124" width="9.85546875" customWidth="1"/>
    <col min="5125" max="5125" width="7.5703125" customWidth="1"/>
    <col min="5126" max="5126" width="8.28515625" customWidth="1"/>
    <col min="5127" max="5127" width="9.5703125" customWidth="1"/>
    <col min="5128" max="5128" width="5.140625" customWidth="1"/>
    <col min="5129" max="5129" width="14" bestFit="1" customWidth="1"/>
    <col min="5378" max="5378" width="36.85546875" customWidth="1"/>
    <col min="5379" max="5379" width="12.85546875" customWidth="1"/>
    <col min="5380" max="5380" width="9.85546875" customWidth="1"/>
    <col min="5381" max="5381" width="7.5703125" customWidth="1"/>
    <col min="5382" max="5382" width="8.28515625" customWidth="1"/>
    <col min="5383" max="5383" width="9.5703125" customWidth="1"/>
    <col min="5384" max="5384" width="5.140625" customWidth="1"/>
    <col min="5385" max="5385" width="14" bestFit="1" customWidth="1"/>
    <col min="5634" max="5634" width="36.85546875" customWidth="1"/>
    <col min="5635" max="5635" width="12.85546875" customWidth="1"/>
    <col min="5636" max="5636" width="9.85546875" customWidth="1"/>
    <col min="5637" max="5637" width="7.5703125" customWidth="1"/>
    <col min="5638" max="5638" width="8.28515625" customWidth="1"/>
    <col min="5639" max="5639" width="9.5703125" customWidth="1"/>
    <col min="5640" max="5640" width="5.140625" customWidth="1"/>
    <col min="5641" max="5641" width="14" bestFit="1" customWidth="1"/>
    <col min="5890" max="5890" width="36.85546875" customWidth="1"/>
    <col min="5891" max="5891" width="12.85546875" customWidth="1"/>
    <col min="5892" max="5892" width="9.85546875" customWidth="1"/>
    <col min="5893" max="5893" width="7.5703125" customWidth="1"/>
    <col min="5894" max="5894" width="8.28515625" customWidth="1"/>
    <col min="5895" max="5895" width="9.5703125" customWidth="1"/>
    <col min="5896" max="5896" width="5.140625" customWidth="1"/>
    <col min="5897" max="5897" width="14" bestFit="1" customWidth="1"/>
    <col min="6146" max="6146" width="36.85546875" customWidth="1"/>
    <col min="6147" max="6147" width="12.85546875" customWidth="1"/>
    <col min="6148" max="6148" width="9.85546875" customWidth="1"/>
    <col min="6149" max="6149" width="7.5703125" customWidth="1"/>
    <col min="6150" max="6150" width="8.28515625" customWidth="1"/>
    <col min="6151" max="6151" width="9.5703125" customWidth="1"/>
    <col min="6152" max="6152" width="5.140625" customWidth="1"/>
    <col min="6153" max="6153" width="14" bestFit="1" customWidth="1"/>
    <col min="6402" max="6402" width="36.85546875" customWidth="1"/>
    <col min="6403" max="6403" width="12.85546875" customWidth="1"/>
    <col min="6404" max="6404" width="9.85546875" customWidth="1"/>
    <col min="6405" max="6405" width="7.5703125" customWidth="1"/>
    <col min="6406" max="6406" width="8.28515625" customWidth="1"/>
    <col min="6407" max="6407" width="9.5703125" customWidth="1"/>
    <col min="6408" max="6408" width="5.140625" customWidth="1"/>
    <col min="6409" max="6409" width="14" bestFit="1" customWidth="1"/>
    <col min="6658" max="6658" width="36.85546875" customWidth="1"/>
    <col min="6659" max="6659" width="12.85546875" customWidth="1"/>
    <col min="6660" max="6660" width="9.85546875" customWidth="1"/>
    <col min="6661" max="6661" width="7.5703125" customWidth="1"/>
    <col min="6662" max="6662" width="8.28515625" customWidth="1"/>
    <col min="6663" max="6663" width="9.5703125" customWidth="1"/>
    <col min="6664" max="6664" width="5.140625" customWidth="1"/>
    <col min="6665" max="6665" width="14" bestFit="1" customWidth="1"/>
    <col min="6914" max="6914" width="36.85546875" customWidth="1"/>
    <col min="6915" max="6915" width="12.85546875" customWidth="1"/>
    <col min="6916" max="6916" width="9.85546875" customWidth="1"/>
    <col min="6917" max="6917" width="7.5703125" customWidth="1"/>
    <col min="6918" max="6918" width="8.28515625" customWidth="1"/>
    <col min="6919" max="6919" width="9.5703125" customWidth="1"/>
    <col min="6920" max="6920" width="5.140625" customWidth="1"/>
    <col min="6921" max="6921" width="14" bestFit="1" customWidth="1"/>
    <col min="7170" max="7170" width="36.85546875" customWidth="1"/>
    <col min="7171" max="7171" width="12.85546875" customWidth="1"/>
    <col min="7172" max="7172" width="9.85546875" customWidth="1"/>
    <col min="7173" max="7173" width="7.5703125" customWidth="1"/>
    <col min="7174" max="7174" width="8.28515625" customWidth="1"/>
    <col min="7175" max="7175" width="9.5703125" customWidth="1"/>
    <col min="7176" max="7176" width="5.140625" customWidth="1"/>
    <col min="7177" max="7177" width="14" bestFit="1" customWidth="1"/>
    <col min="7426" max="7426" width="36.85546875" customWidth="1"/>
    <col min="7427" max="7427" width="12.85546875" customWidth="1"/>
    <col min="7428" max="7428" width="9.85546875" customWidth="1"/>
    <col min="7429" max="7429" width="7.5703125" customWidth="1"/>
    <col min="7430" max="7430" width="8.28515625" customWidth="1"/>
    <col min="7431" max="7431" width="9.5703125" customWidth="1"/>
    <col min="7432" max="7432" width="5.140625" customWidth="1"/>
    <col min="7433" max="7433" width="14" bestFit="1" customWidth="1"/>
    <col min="7682" max="7682" width="36.85546875" customWidth="1"/>
    <col min="7683" max="7683" width="12.85546875" customWidth="1"/>
    <col min="7684" max="7684" width="9.85546875" customWidth="1"/>
    <col min="7685" max="7685" width="7.5703125" customWidth="1"/>
    <col min="7686" max="7686" width="8.28515625" customWidth="1"/>
    <col min="7687" max="7687" width="9.5703125" customWidth="1"/>
    <col min="7688" max="7688" width="5.140625" customWidth="1"/>
    <col min="7689" max="7689" width="14" bestFit="1" customWidth="1"/>
    <col min="7938" max="7938" width="36.85546875" customWidth="1"/>
    <col min="7939" max="7939" width="12.85546875" customWidth="1"/>
    <col min="7940" max="7940" width="9.85546875" customWidth="1"/>
    <col min="7941" max="7941" width="7.5703125" customWidth="1"/>
    <col min="7942" max="7942" width="8.28515625" customWidth="1"/>
    <col min="7943" max="7943" width="9.5703125" customWidth="1"/>
    <col min="7944" max="7944" width="5.140625" customWidth="1"/>
    <col min="7945" max="7945" width="14" bestFit="1" customWidth="1"/>
    <col min="8194" max="8194" width="36.85546875" customWidth="1"/>
    <col min="8195" max="8195" width="12.85546875" customWidth="1"/>
    <col min="8196" max="8196" width="9.85546875" customWidth="1"/>
    <col min="8197" max="8197" width="7.5703125" customWidth="1"/>
    <col min="8198" max="8198" width="8.28515625" customWidth="1"/>
    <col min="8199" max="8199" width="9.5703125" customWidth="1"/>
    <col min="8200" max="8200" width="5.140625" customWidth="1"/>
    <col min="8201" max="8201" width="14" bestFit="1" customWidth="1"/>
    <col min="8450" max="8450" width="36.85546875" customWidth="1"/>
    <col min="8451" max="8451" width="12.85546875" customWidth="1"/>
    <col min="8452" max="8452" width="9.85546875" customWidth="1"/>
    <col min="8453" max="8453" width="7.5703125" customWidth="1"/>
    <col min="8454" max="8454" width="8.28515625" customWidth="1"/>
    <col min="8455" max="8455" width="9.5703125" customWidth="1"/>
    <col min="8456" max="8456" width="5.140625" customWidth="1"/>
    <col min="8457" max="8457" width="14" bestFit="1" customWidth="1"/>
    <col min="8706" max="8706" width="36.85546875" customWidth="1"/>
    <col min="8707" max="8707" width="12.85546875" customWidth="1"/>
    <col min="8708" max="8708" width="9.85546875" customWidth="1"/>
    <col min="8709" max="8709" width="7.5703125" customWidth="1"/>
    <col min="8710" max="8710" width="8.28515625" customWidth="1"/>
    <col min="8711" max="8711" width="9.5703125" customWidth="1"/>
    <col min="8712" max="8712" width="5.140625" customWidth="1"/>
    <col min="8713" max="8713" width="14" bestFit="1" customWidth="1"/>
    <col min="8962" max="8962" width="36.85546875" customWidth="1"/>
    <col min="8963" max="8963" width="12.85546875" customWidth="1"/>
    <col min="8964" max="8964" width="9.85546875" customWidth="1"/>
    <col min="8965" max="8965" width="7.5703125" customWidth="1"/>
    <col min="8966" max="8966" width="8.28515625" customWidth="1"/>
    <col min="8967" max="8967" width="9.5703125" customWidth="1"/>
    <col min="8968" max="8968" width="5.140625" customWidth="1"/>
    <col min="8969" max="8969" width="14" bestFit="1" customWidth="1"/>
    <col min="9218" max="9218" width="36.85546875" customWidth="1"/>
    <col min="9219" max="9219" width="12.85546875" customWidth="1"/>
    <col min="9220" max="9220" width="9.85546875" customWidth="1"/>
    <col min="9221" max="9221" width="7.5703125" customWidth="1"/>
    <col min="9222" max="9222" width="8.28515625" customWidth="1"/>
    <col min="9223" max="9223" width="9.5703125" customWidth="1"/>
    <col min="9224" max="9224" width="5.140625" customWidth="1"/>
    <col min="9225" max="9225" width="14" bestFit="1" customWidth="1"/>
    <col min="9474" max="9474" width="36.85546875" customWidth="1"/>
    <col min="9475" max="9475" width="12.85546875" customWidth="1"/>
    <col min="9476" max="9476" width="9.85546875" customWidth="1"/>
    <col min="9477" max="9477" width="7.5703125" customWidth="1"/>
    <col min="9478" max="9478" width="8.28515625" customWidth="1"/>
    <col min="9479" max="9479" width="9.5703125" customWidth="1"/>
    <col min="9480" max="9480" width="5.140625" customWidth="1"/>
    <col min="9481" max="9481" width="14" bestFit="1" customWidth="1"/>
    <col min="9730" max="9730" width="36.85546875" customWidth="1"/>
    <col min="9731" max="9731" width="12.85546875" customWidth="1"/>
    <col min="9732" max="9732" width="9.85546875" customWidth="1"/>
    <col min="9733" max="9733" width="7.5703125" customWidth="1"/>
    <col min="9734" max="9734" width="8.28515625" customWidth="1"/>
    <col min="9735" max="9735" width="9.5703125" customWidth="1"/>
    <col min="9736" max="9736" width="5.140625" customWidth="1"/>
    <col min="9737" max="9737" width="14" bestFit="1" customWidth="1"/>
    <col min="9986" max="9986" width="36.85546875" customWidth="1"/>
    <col min="9987" max="9987" width="12.85546875" customWidth="1"/>
    <col min="9988" max="9988" width="9.85546875" customWidth="1"/>
    <col min="9989" max="9989" width="7.5703125" customWidth="1"/>
    <col min="9990" max="9990" width="8.28515625" customWidth="1"/>
    <col min="9991" max="9991" width="9.5703125" customWidth="1"/>
    <col min="9992" max="9992" width="5.140625" customWidth="1"/>
    <col min="9993" max="9993" width="14" bestFit="1" customWidth="1"/>
    <col min="10242" max="10242" width="36.85546875" customWidth="1"/>
    <col min="10243" max="10243" width="12.85546875" customWidth="1"/>
    <col min="10244" max="10244" width="9.85546875" customWidth="1"/>
    <col min="10245" max="10245" width="7.5703125" customWidth="1"/>
    <col min="10246" max="10246" width="8.28515625" customWidth="1"/>
    <col min="10247" max="10247" width="9.5703125" customWidth="1"/>
    <col min="10248" max="10248" width="5.140625" customWidth="1"/>
    <col min="10249" max="10249" width="14" bestFit="1" customWidth="1"/>
    <col min="10498" max="10498" width="36.85546875" customWidth="1"/>
    <col min="10499" max="10499" width="12.85546875" customWidth="1"/>
    <col min="10500" max="10500" width="9.85546875" customWidth="1"/>
    <col min="10501" max="10501" width="7.5703125" customWidth="1"/>
    <col min="10502" max="10502" width="8.28515625" customWidth="1"/>
    <col min="10503" max="10503" width="9.5703125" customWidth="1"/>
    <col min="10504" max="10504" width="5.140625" customWidth="1"/>
    <col min="10505" max="10505" width="14" bestFit="1" customWidth="1"/>
    <col min="10754" max="10754" width="36.85546875" customWidth="1"/>
    <col min="10755" max="10755" width="12.85546875" customWidth="1"/>
    <col min="10756" max="10756" width="9.85546875" customWidth="1"/>
    <col min="10757" max="10757" width="7.5703125" customWidth="1"/>
    <col min="10758" max="10758" width="8.28515625" customWidth="1"/>
    <col min="10759" max="10759" width="9.5703125" customWidth="1"/>
    <col min="10760" max="10760" width="5.140625" customWidth="1"/>
    <col min="10761" max="10761" width="14" bestFit="1" customWidth="1"/>
    <col min="11010" max="11010" width="36.85546875" customWidth="1"/>
    <col min="11011" max="11011" width="12.85546875" customWidth="1"/>
    <col min="11012" max="11012" width="9.85546875" customWidth="1"/>
    <col min="11013" max="11013" width="7.5703125" customWidth="1"/>
    <col min="11014" max="11014" width="8.28515625" customWidth="1"/>
    <col min="11015" max="11015" width="9.5703125" customWidth="1"/>
    <col min="11016" max="11016" width="5.140625" customWidth="1"/>
    <col min="11017" max="11017" width="14" bestFit="1" customWidth="1"/>
    <col min="11266" max="11266" width="36.85546875" customWidth="1"/>
    <col min="11267" max="11267" width="12.85546875" customWidth="1"/>
    <col min="11268" max="11268" width="9.85546875" customWidth="1"/>
    <col min="11269" max="11269" width="7.5703125" customWidth="1"/>
    <col min="11270" max="11270" width="8.28515625" customWidth="1"/>
    <col min="11271" max="11271" width="9.5703125" customWidth="1"/>
    <col min="11272" max="11272" width="5.140625" customWidth="1"/>
    <col min="11273" max="11273" width="14" bestFit="1" customWidth="1"/>
    <col min="11522" max="11522" width="36.85546875" customWidth="1"/>
    <col min="11523" max="11523" width="12.85546875" customWidth="1"/>
    <col min="11524" max="11524" width="9.85546875" customWidth="1"/>
    <col min="11525" max="11525" width="7.5703125" customWidth="1"/>
    <col min="11526" max="11526" width="8.28515625" customWidth="1"/>
    <col min="11527" max="11527" width="9.5703125" customWidth="1"/>
    <col min="11528" max="11528" width="5.140625" customWidth="1"/>
    <col min="11529" max="11529" width="14" bestFit="1" customWidth="1"/>
    <col min="11778" max="11778" width="36.85546875" customWidth="1"/>
    <col min="11779" max="11779" width="12.85546875" customWidth="1"/>
    <col min="11780" max="11780" width="9.85546875" customWidth="1"/>
    <col min="11781" max="11781" width="7.5703125" customWidth="1"/>
    <col min="11782" max="11782" width="8.28515625" customWidth="1"/>
    <col min="11783" max="11783" width="9.5703125" customWidth="1"/>
    <col min="11784" max="11784" width="5.140625" customWidth="1"/>
    <col min="11785" max="11785" width="14" bestFit="1" customWidth="1"/>
    <col min="12034" max="12034" width="36.85546875" customWidth="1"/>
    <col min="12035" max="12035" width="12.85546875" customWidth="1"/>
    <col min="12036" max="12036" width="9.85546875" customWidth="1"/>
    <col min="12037" max="12037" width="7.5703125" customWidth="1"/>
    <col min="12038" max="12038" width="8.28515625" customWidth="1"/>
    <col min="12039" max="12039" width="9.5703125" customWidth="1"/>
    <col min="12040" max="12040" width="5.140625" customWidth="1"/>
    <col min="12041" max="12041" width="14" bestFit="1" customWidth="1"/>
    <col min="12290" max="12290" width="36.85546875" customWidth="1"/>
    <col min="12291" max="12291" width="12.85546875" customWidth="1"/>
    <col min="12292" max="12292" width="9.85546875" customWidth="1"/>
    <col min="12293" max="12293" width="7.5703125" customWidth="1"/>
    <col min="12294" max="12294" width="8.28515625" customWidth="1"/>
    <col min="12295" max="12295" width="9.5703125" customWidth="1"/>
    <col min="12296" max="12296" width="5.140625" customWidth="1"/>
    <col min="12297" max="12297" width="14" bestFit="1" customWidth="1"/>
    <col min="12546" max="12546" width="36.85546875" customWidth="1"/>
    <col min="12547" max="12547" width="12.85546875" customWidth="1"/>
    <col min="12548" max="12548" width="9.85546875" customWidth="1"/>
    <col min="12549" max="12549" width="7.5703125" customWidth="1"/>
    <col min="12550" max="12550" width="8.28515625" customWidth="1"/>
    <col min="12551" max="12551" width="9.5703125" customWidth="1"/>
    <col min="12552" max="12552" width="5.140625" customWidth="1"/>
    <col min="12553" max="12553" width="14" bestFit="1" customWidth="1"/>
    <col min="12802" max="12802" width="36.85546875" customWidth="1"/>
    <col min="12803" max="12803" width="12.85546875" customWidth="1"/>
    <col min="12804" max="12804" width="9.85546875" customWidth="1"/>
    <col min="12805" max="12805" width="7.5703125" customWidth="1"/>
    <col min="12806" max="12806" width="8.28515625" customWidth="1"/>
    <col min="12807" max="12807" width="9.5703125" customWidth="1"/>
    <col min="12808" max="12808" width="5.140625" customWidth="1"/>
    <col min="12809" max="12809" width="14" bestFit="1" customWidth="1"/>
    <col min="13058" max="13058" width="36.85546875" customWidth="1"/>
    <col min="13059" max="13059" width="12.85546875" customWidth="1"/>
    <col min="13060" max="13060" width="9.85546875" customWidth="1"/>
    <col min="13061" max="13061" width="7.5703125" customWidth="1"/>
    <col min="13062" max="13062" width="8.28515625" customWidth="1"/>
    <col min="13063" max="13063" width="9.5703125" customWidth="1"/>
    <col min="13064" max="13064" width="5.140625" customWidth="1"/>
    <col min="13065" max="13065" width="14" bestFit="1" customWidth="1"/>
    <col min="13314" max="13314" width="36.85546875" customWidth="1"/>
    <col min="13315" max="13315" width="12.85546875" customWidth="1"/>
    <col min="13316" max="13316" width="9.85546875" customWidth="1"/>
    <col min="13317" max="13317" width="7.5703125" customWidth="1"/>
    <col min="13318" max="13318" width="8.28515625" customWidth="1"/>
    <col min="13319" max="13319" width="9.5703125" customWidth="1"/>
    <col min="13320" max="13320" width="5.140625" customWidth="1"/>
    <col min="13321" max="13321" width="14" bestFit="1" customWidth="1"/>
    <col min="13570" max="13570" width="36.85546875" customWidth="1"/>
    <col min="13571" max="13571" width="12.85546875" customWidth="1"/>
    <col min="13572" max="13572" width="9.85546875" customWidth="1"/>
    <col min="13573" max="13573" width="7.5703125" customWidth="1"/>
    <col min="13574" max="13574" width="8.28515625" customWidth="1"/>
    <col min="13575" max="13575" width="9.5703125" customWidth="1"/>
    <col min="13576" max="13576" width="5.140625" customWidth="1"/>
    <col min="13577" max="13577" width="14" bestFit="1" customWidth="1"/>
    <col min="13826" max="13826" width="36.85546875" customWidth="1"/>
    <col min="13827" max="13827" width="12.85546875" customWidth="1"/>
    <col min="13828" max="13828" width="9.85546875" customWidth="1"/>
    <col min="13829" max="13829" width="7.5703125" customWidth="1"/>
    <col min="13830" max="13830" width="8.28515625" customWidth="1"/>
    <col min="13831" max="13831" width="9.5703125" customWidth="1"/>
    <col min="13832" max="13832" width="5.140625" customWidth="1"/>
    <col min="13833" max="13833" width="14" bestFit="1" customWidth="1"/>
    <col min="14082" max="14082" width="36.85546875" customWidth="1"/>
    <col min="14083" max="14083" width="12.85546875" customWidth="1"/>
    <col min="14084" max="14084" width="9.85546875" customWidth="1"/>
    <col min="14085" max="14085" width="7.5703125" customWidth="1"/>
    <col min="14086" max="14086" width="8.28515625" customWidth="1"/>
    <col min="14087" max="14087" width="9.5703125" customWidth="1"/>
    <col min="14088" max="14088" width="5.140625" customWidth="1"/>
    <col min="14089" max="14089" width="14" bestFit="1" customWidth="1"/>
    <col min="14338" max="14338" width="36.85546875" customWidth="1"/>
    <col min="14339" max="14339" width="12.85546875" customWidth="1"/>
    <col min="14340" max="14340" width="9.85546875" customWidth="1"/>
    <col min="14341" max="14341" width="7.5703125" customWidth="1"/>
    <col min="14342" max="14342" width="8.28515625" customWidth="1"/>
    <col min="14343" max="14343" width="9.5703125" customWidth="1"/>
    <col min="14344" max="14344" width="5.140625" customWidth="1"/>
    <col min="14345" max="14345" width="14" bestFit="1" customWidth="1"/>
    <col min="14594" max="14594" width="36.85546875" customWidth="1"/>
    <col min="14595" max="14595" width="12.85546875" customWidth="1"/>
    <col min="14596" max="14596" width="9.85546875" customWidth="1"/>
    <col min="14597" max="14597" width="7.5703125" customWidth="1"/>
    <col min="14598" max="14598" width="8.28515625" customWidth="1"/>
    <col min="14599" max="14599" width="9.5703125" customWidth="1"/>
    <col min="14600" max="14600" width="5.140625" customWidth="1"/>
    <col min="14601" max="14601" width="14" bestFit="1" customWidth="1"/>
    <col min="14850" max="14850" width="36.85546875" customWidth="1"/>
    <col min="14851" max="14851" width="12.85546875" customWidth="1"/>
    <col min="14852" max="14852" width="9.85546875" customWidth="1"/>
    <col min="14853" max="14853" width="7.5703125" customWidth="1"/>
    <col min="14854" max="14854" width="8.28515625" customWidth="1"/>
    <col min="14855" max="14855" width="9.5703125" customWidth="1"/>
    <col min="14856" max="14856" width="5.140625" customWidth="1"/>
    <col min="14857" max="14857" width="14" bestFit="1" customWidth="1"/>
    <col min="15106" max="15106" width="36.85546875" customWidth="1"/>
    <col min="15107" max="15107" width="12.85546875" customWidth="1"/>
    <col min="15108" max="15108" width="9.85546875" customWidth="1"/>
    <col min="15109" max="15109" width="7.5703125" customWidth="1"/>
    <col min="15110" max="15110" width="8.28515625" customWidth="1"/>
    <col min="15111" max="15111" width="9.5703125" customWidth="1"/>
    <col min="15112" max="15112" width="5.140625" customWidth="1"/>
    <col min="15113" max="15113" width="14" bestFit="1" customWidth="1"/>
    <col min="15362" max="15362" width="36.85546875" customWidth="1"/>
    <col min="15363" max="15363" width="12.85546875" customWidth="1"/>
    <col min="15364" max="15364" width="9.85546875" customWidth="1"/>
    <col min="15365" max="15365" width="7.5703125" customWidth="1"/>
    <col min="15366" max="15366" width="8.28515625" customWidth="1"/>
    <col min="15367" max="15367" width="9.5703125" customWidth="1"/>
    <col min="15368" max="15368" width="5.140625" customWidth="1"/>
    <col min="15369" max="15369" width="14" bestFit="1" customWidth="1"/>
    <col min="15618" max="15618" width="36.85546875" customWidth="1"/>
    <col min="15619" max="15619" width="12.85546875" customWidth="1"/>
    <col min="15620" max="15620" width="9.85546875" customWidth="1"/>
    <col min="15621" max="15621" width="7.5703125" customWidth="1"/>
    <col min="15622" max="15622" width="8.28515625" customWidth="1"/>
    <col min="15623" max="15623" width="9.5703125" customWidth="1"/>
    <col min="15624" max="15624" width="5.140625" customWidth="1"/>
    <col min="15625" max="15625" width="14" bestFit="1" customWidth="1"/>
    <col min="15874" max="15874" width="36.85546875" customWidth="1"/>
    <col min="15875" max="15875" width="12.85546875" customWidth="1"/>
    <col min="15876" max="15876" width="9.85546875" customWidth="1"/>
    <col min="15877" max="15877" width="7.5703125" customWidth="1"/>
    <col min="15878" max="15878" width="8.28515625" customWidth="1"/>
    <col min="15879" max="15879" width="9.5703125" customWidth="1"/>
    <col min="15880" max="15880" width="5.140625" customWidth="1"/>
    <col min="15881" max="15881" width="14" bestFit="1" customWidth="1"/>
    <col min="16130" max="16130" width="36.85546875" customWidth="1"/>
    <col min="16131" max="16131" width="12.85546875" customWidth="1"/>
    <col min="16132" max="16132" width="9.85546875" customWidth="1"/>
    <col min="16133" max="16133" width="7.5703125" customWidth="1"/>
    <col min="16134" max="16134" width="8.28515625" customWidth="1"/>
    <col min="16135" max="16135" width="9.5703125" customWidth="1"/>
    <col min="16136" max="16136" width="5.140625" customWidth="1"/>
    <col min="16137" max="16137" width="14" bestFit="1" customWidth="1"/>
  </cols>
  <sheetData>
    <row r="1" spans="2:11" ht="23.25" thickBot="1">
      <c r="B1" s="474" t="s">
        <v>1</v>
      </c>
      <c r="C1" s="475" t="s">
        <v>769</v>
      </c>
      <c r="D1" s="475" t="s">
        <v>769</v>
      </c>
      <c r="E1" s="476" t="s">
        <v>1091</v>
      </c>
      <c r="F1" s="477" t="s">
        <v>1166</v>
      </c>
      <c r="G1" s="529" t="s">
        <v>1167</v>
      </c>
      <c r="H1" s="340"/>
      <c r="I1" s="340"/>
      <c r="J1" s="359"/>
      <c r="K1" s="359"/>
    </row>
    <row r="2" spans="2:11" ht="15.75" thickBot="1">
      <c r="B2" s="917" t="s">
        <v>1168</v>
      </c>
      <c r="C2" s="918"/>
      <c r="D2" s="918"/>
      <c r="E2" s="918"/>
      <c r="F2" s="918"/>
      <c r="G2" s="919"/>
      <c r="H2" s="340"/>
      <c r="I2" s="340"/>
      <c r="J2" s="359"/>
      <c r="K2" s="359"/>
    </row>
    <row r="3" spans="2:11">
      <c r="B3" s="920" t="s">
        <v>1169</v>
      </c>
      <c r="C3" s="921"/>
      <c r="D3" s="921"/>
      <c r="E3" s="921"/>
      <c r="F3" s="921"/>
      <c r="G3" s="922"/>
      <c r="H3" s="478"/>
      <c r="I3" s="478"/>
      <c r="J3" s="359"/>
      <c r="K3" s="359"/>
    </row>
    <row r="4" spans="2:11">
      <c r="B4" s="409" t="s">
        <v>1170</v>
      </c>
      <c r="C4" s="376" t="s">
        <v>47</v>
      </c>
      <c r="D4" s="376"/>
      <c r="E4" s="343" t="s">
        <v>19</v>
      </c>
      <c r="F4" s="506"/>
      <c r="G4" s="506">
        <v>66</v>
      </c>
      <c r="H4" s="478"/>
      <c r="I4" s="478"/>
      <c r="J4" s="478"/>
      <c r="K4" s="479"/>
    </row>
    <row r="5" spans="2:11">
      <c r="B5" s="409" t="s">
        <v>1170</v>
      </c>
      <c r="C5" s="376" t="s">
        <v>49</v>
      </c>
      <c r="D5" s="376"/>
      <c r="E5" s="343" t="s">
        <v>19</v>
      </c>
      <c r="F5" s="506"/>
      <c r="G5" s="506">
        <v>74</v>
      </c>
      <c r="H5" s="478"/>
      <c r="I5" s="478"/>
      <c r="J5" s="478"/>
      <c r="K5" s="479"/>
    </row>
    <row r="6" spans="2:11">
      <c r="B6" s="409" t="s">
        <v>1170</v>
      </c>
      <c r="C6" s="376" t="s">
        <v>51</v>
      </c>
      <c r="D6" s="376"/>
      <c r="E6" s="343" t="s">
        <v>19</v>
      </c>
      <c r="F6" s="506"/>
      <c r="G6" s="506">
        <v>82</v>
      </c>
      <c r="H6" s="478"/>
      <c r="I6" s="478"/>
      <c r="J6" s="478"/>
      <c r="K6" s="479"/>
    </row>
    <row r="7" spans="2:11">
      <c r="B7" s="409" t="s">
        <v>1170</v>
      </c>
      <c r="C7" s="376" t="s">
        <v>53</v>
      </c>
      <c r="D7" s="376"/>
      <c r="E7" s="343" t="s">
        <v>19</v>
      </c>
      <c r="F7" s="506"/>
      <c r="G7" s="506">
        <v>100</v>
      </c>
      <c r="H7" s="478"/>
      <c r="I7" s="478"/>
      <c r="J7" s="478"/>
      <c r="K7" s="479"/>
    </row>
    <row r="8" spans="2:11">
      <c r="B8" s="409" t="s">
        <v>1170</v>
      </c>
      <c r="C8" s="376" t="s">
        <v>55</v>
      </c>
      <c r="D8" s="376"/>
      <c r="E8" s="343" t="s">
        <v>19</v>
      </c>
      <c r="F8" s="506"/>
      <c r="G8" s="506">
        <v>115</v>
      </c>
      <c r="H8" s="478"/>
      <c r="I8" s="478"/>
      <c r="J8" s="478"/>
      <c r="K8" s="479"/>
    </row>
    <row r="9" spans="2:11">
      <c r="B9" s="409" t="s">
        <v>1170</v>
      </c>
      <c r="C9" s="376" t="s">
        <v>57</v>
      </c>
      <c r="D9" s="376"/>
      <c r="E9" s="343" t="s">
        <v>19</v>
      </c>
      <c r="F9" s="506"/>
      <c r="G9" s="506">
        <v>130</v>
      </c>
      <c r="H9" s="478"/>
      <c r="I9" s="478"/>
      <c r="J9" s="478"/>
      <c r="K9" s="479"/>
    </row>
    <row r="10" spans="2:11">
      <c r="B10" s="409" t="s">
        <v>1170</v>
      </c>
      <c r="C10" s="376" t="s">
        <v>59</v>
      </c>
      <c r="D10" s="376"/>
      <c r="E10" s="343" t="s">
        <v>19</v>
      </c>
      <c r="F10" s="506"/>
      <c r="G10" s="506">
        <v>142</v>
      </c>
      <c r="H10" s="478"/>
      <c r="I10" s="478"/>
      <c r="J10" s="478"/>
      <c r="K10" s="479"/>
    </row>
    <row r="11" spans="2:11">
      <c r="B11" s="409" t="s">
        <v>1170</v>
      </c>
      <c r="C11" s="376" t="s">
        <v>60</v>
      </c>
      <c r="D11" s="376"/>
      <c r="E11" s="343" t="s">
        <v>19</v>
      </c>
      <c r="F11" s="506"/>
      <c r="G11" s="506">
        <v>144</v>
      </c>
      <c r="H11" s="480"/>
      <c r="I11" s="480"/>
      <c r="J11" s="478"/>
      <c r="K11" s="479"/>
    </row>
    <row r="12" spans="2:11">
      <c r="B12" s="409" t="s">
        <v>1170</v>
      </c>
      <c r="C12" s="376" t="s">
        <v>62</v>
      </c>
      <c r="D12" s="376"/>
      <c r="E12" s="343" t="s">
        <v>19</v>
      </c>
      <c r="F12" s="506"/>
      <c r="G12" s="506">
        <v>160</v>
      </c>
      <c r="H12" s="480"/>
      <c r="I12" s="480"/>
      <c r="J12" s="478"/>
      <c r="K12" s="479"/>
    </row>
    <row r="13" spans="2:11">
      <c r="B13" s="409" t="s">
        <v>1170</v>
      </c>
      <c r="C13" s="376" t="s">
        <v>63</v>
      </c>
      <c r="D13" s="376"/>
      <c r="E13" s="343" t="s">
        <v>19</v>
      </c>
      <c r="F13" s="506"/>
      <c r="G13" s="506">
        <v>177</v>
      </c>
      <c r="H13" s="480"/>
      <c r="I13" s="480"/>
      <c r="J13" s="478"/>
      <c r="K13" s="479"/>
    </row>
    <row r="14" spans="2:11">
      <c r="B14" s="409" t="s">
        <v>1170</v>
      </c>
      <c r="C14" s="376" t="s">
        <v>66</v>
      </c>
      <c r="D14" s="376"/>
      <c r="E14" s="343" t="s">
        <v>19</v>
      </c>
      <c r="F14" s="506"/>
      <c r="G14" s="506">
        <v>221</v>
      </c>
      <c r="H14" s="480"/>
      <c r="I14" s="480"/>
      <c r="J14" s="478"/>
      <c r="K14" s="479"/>
    </row>
    <row r="15" spans="2:11">
      <c r="B15" s="409" t="s">
        <v>1170</v>
      </c>
      <c r="C15" s="376" t="s">
        <v>121</v>
      </c>
      <c r="D15" s="376"/>
      <c r="E15" s="343" t="s">
        <v>19</v>
      </c>
      <c r="F15" s="506"/>
      <c r="G15" s="506">
        <v>264</v>
      </c>
      <c r="H15" s="480"/>
      <c r="I15" s="480"/>
      <c r="J15" s="478"/>
      <c r="K15" s="479"/>
    </row>
    <row r="16" spans="2:11">
      <c r="B16" s="409" t="s">
        <v>1170</v>
      </c>
      <c r="C16" s="376" t="s">
        <v>122</v>
      </c>
      <c r="D16" s="376"/>
      <c r="E16" s="343" t="s">
        <v>19</v>
      </c>
      <c r="F16" s="506"/>
      <c r="G16" s="506">
        <v>308</v>
      </c>
      <c r="H16" s="480"/>
      <c r="I16" s="480"/>
      <c r="J16" s="478"/>
      <c r="K16" s="479"/>
    </row>
    <row r="17" spans="2:11">
      <c r="B17" s="409" t="s">
        <v>1170</v>
      </c>
      <c r="C17" s="376" t="s">
        <v>156</v>
      </c>
      <c r="D17" s="376"/>
      <c r="E17" s="343" t="s">
        <v>19</v>
      </c>
      <c r="F17" s="506"/>
      <c r="G17" s="506">
        <v>566</v>
      </c>
      <c r="H17" s="480"/>
      <c r="I17" s="480"/>
      <c r="J17" s="478"/>
      <c r="K17" s="479"/>
    </row>
    <row r="18" spans="2:11">
      <c r="B18" s="409" t="s">
        <v>1170</v>
      </c>
      <c r="C18" s="376" t="s">
        <v>158</v>
      </c>
      <c r="D18" s="376"/>
      <c r="E18" s="343" t="s">
        <v>19</v>
      </c>
      <c r="F18" s="506"/>
      <c r="G18" s="506">
        <v>833</v>
      </c>
      <c r="H18" s="480"/>
      <c r="I18" s="480"/>
      <c r="J18" s="478"/>
      <c r="K18" s="479"/>
    </row>
    <row r="19" spans="2:11">
      <c r="B19" s="409" t="s">
        <v>1170</v>
      </c>
      <c r="C19" s="376" t="s">
        <v>176</v>
      </c>
      <c r="D19" s="376"/>
      <c r="E19" s="343" t="s">
        <v>19</v>
      </c>
      <c r="F19" s="506"/>
      <c r="G19" s="506">
        <v>1000</v>
      </c>
      <c r="H19" s="480"/>
      <c r="I19" s="480"/>
      <c r="J19" s="478"/>
      <c r="K19" s="479"/>
    </row>
    <row r="20" spans="2:11">
      <c r="B20" s="920" t="s">
        <v>1171</v>
      </c>
      <c r="C20" s="921"/>
      <c r="D20" s="921"/>
      <c r="E20" s="921"/>
      <c r="F20" s="921"/>
      <c r="G20" s="922"/>
      <c r="H20" s="480"/>
      <c r="I20" s="480"/>
      <c r="J20" s="478"/>
      <c r="K20" s="479"/>
    </row>
    <row r="21" spans="2:11">
      <c r="B21" s="409" t="s">
        <v>1172</v>
      </c>
      <c r="C21" s="376" t="s">
        <v>47</v>
      </c>
      <c r="D21" s="376"/>
      <c r="E21" s="343" t="s">
        <v>19</v>
      </c>
      <c r="F21" s="506"/>
      <c r="G21" s="506">
        <v>55</v>
      </c>
      <c r="H21" s="480"/>
      <c r="I21" s="480"/>
      <c r="J21" s="478"/>
      <c r="K21" s="479"/>
    </row>
    <row r="22" spans="2:11">
      <c r="B22" s="409" t="s">
        <v>1172</v>
      </c>
      <c r="C22" s="376" t="s">
        <v>49</v>
      </c>
      <c r="D22" s="376"/>
      <c r="E22" s="343" t="s">
        <v>19</v>
      </c>
      <c r="F22" s="506"/>
      <c r="G22" s="506">
        <v>60</v>
      </c>
      <c r="H22" s="480"/>
      <c r="I22" s="480"/>
      <c r="J22" s="478"/>
      <c r="K22" s="479"/>
    </row>
    <row r="23" spans="2:11">
      <c r="B23" s="409" t="s">
        <v>1172</v>
      </c>
      <c r="C23" s="376" t="s">
        <v>51</v>
      </c>
      <c r="D23" s="376"/>
      <c r="E23" s="343" t="s">
        <v>19</v>
      </c>
      <c r="F23" s="506"/>
      <c r="G23" s="506">
        <v>65</v>
      </c>
      <c r="H23" s="480"/>
      <c r="I23" s="480"/>
      <c r="J23" s="478"/>
      <c r="K23" s="479"/>
    </row>
    <row r="24" spans="2:11">
      <c r="B24" s="409" t="s">
        <v>1172</v>
      </c>
      <c r="C24" s="376" t="s">
        <v>53</v>
      </c>
      <c r="D24" s="376"/>
      <c r="E24" s="343" t="s">
        <v>19</v>
      </c>
      <c r="F24" s="506"/>
      <c r="G24" s="506">
        <v>70</v>
      </c>
      <c r="H24" s="480"/>
      <c r="I24" s="480"/>
      <c r="J24" s="478"/>
      <c r="K24" s="479"/>
    </row>
    <row r="25" spans="2:11">
      <c r="B25" s="409" t="s">
        <v>1172</v>
      </c>
      <c r="C25" s="376" t="s">
        <v>55</v>
      </c>
      <c r="D25" s="376"/>
      <c r="E25" s="343" t="s">
        <v>19</v>
      </c>
      <c r="F25" s="506"/>
      <c r="G25" s="506">
        <v>75</v>
      </c>
      <c r="H25" s="480"/>
      <c r="I25" s="480"/>
      <c r="J25" s="478"/>
      <c r="K25" s="479"/>
    </row>
    <row r="26" spans="2:11">
      <c r="B26" s="409" t="s">
        <v>1172</v>
      </c>
      <c r="C26" s="376" t="s">
        <v>57</v>
      </c>
      <c r="D26" s="376"/>
      <c r="E26" s="343" t="s">
        <v>19</v>
      </c>
      <c r="F26" s="506"/>
      <c r="G26" s="506">
        <v>85</v>
      </c>
      <c r="H26" s="480"/>
      <c r="I26" s="480"/>
      <c r="J26" s="478"/>
      <c r="K26" s="479"/>
    </row>
    <row r="27" spans="2:11">
      <c r="B27" s="409" t="s">
        <v>1172</v>
      </c>
      <c r="C27" s="376" t="s">
        <v>59</v>
      </c>
      <c r="D27" s="376"/>
      <c r="E27" s="343" t="s">
        <v>19</v>
      </c>
      <c r="F27" s="506"/>
      <c r="G27" s="506">
        <v>95</v>
      </c>
      <c r="H27" s="480"/>
      <c r="I27" s="480"/>
      <c r="J27" s="478"/>
      <c r="K27" s="479"/>
    </row>
    <row r="28" spans="2:11">
      <c r="B28" s="409" t="s">
        <v>1172</v>
      </c>
      <c r="C28" s="376" t="s">
        <v>60</v>
      </c>
      <c r="D28" s="376"/>
      <c r="E28" s="343" t="s">
        <v>19</v>
      </c>
      <c r="F28" s="506"/>
      <c r="G28" s="506">
        <v>100</v>
      </c>
      <c r="H28" s="480"/>
      <c r="I28" s="480"/>
      <c r="J28" s="478"/>
      <c r="K28" s="479"/>
    </row>
    <row r="29" spans="2:11">
      <c r="B29" s="409" t="s">
        <v>1172</v>
      </c>
      <c r="C29" s="376" t="s">
        <v>62</v>
      </c>
      <c r="D29" s="376"/>
      <c r="E29" s="343" t="s">
        <v>19</v>
      </c>
      <c r="F29" s="506"/>
      <c r="G29" s="506">
        <v>110</v>
      </c>
      <c r="H29" s="480"/>
      <c r="I29" s="480"/>
      <c r="J29" s="478"/>
      <c r="K29" s="479"/>
    </row>
    <row r="30" spans="2:11">
      <c r="B30" s="409" t="s">
        <v>1172</v>
      </c>
      <c r="C30" s="376" t="s">
        <v>63</v>
      </c>
      <c r="D30" s="376"/>
      <c r="E30" s="343" t="s">
        <v>19</v>
      </c>
      <c r="F30" s="506"/>
      <c r="G30" s="506">
        <v>140</v>
      </c>
      <c r="H30" s="480"/>
      <c r="I30" s="480"/>
      <c r="J30" s="478"/>
      <c r="K30" s="479"/>
    </row>
    <row r="31" spans="2:11">
      <c r="B31" s="409" t="s">
        <v>1172</v>
      </c>
      <c r="C31" s="376" t="s">
        <v>66</v>
      </c>
      <c r="D31" s="376"/>
      <c r="E31" s="343" t="s">
        <v>19</v>
      </c>
      <c r="F31" s="506"/>
      <c r="G31" s="506">
        <v>170</v>
      </c>
      <c r="H31" s="480"/>
      <c r="I31" s="480"/>
      <c r="J31" s="478"/>
      <c r="K31" s="479"/>
    </row>
    <row r="32" spans="2:11">
      <c r="B32" s="409" t="s">
        <v>1172</v>
      </c>
      <c r="C32" s="376" t="s">
        <v>121</v>
      </c>
      <c r="D32" s="376"/>
      <c r="E32" s="343" t="s">
        <v>19</v>
      </c>
      <c r="F32" s="506"/>
      <c r="G32" s="506">
        <v>220</v>
      </c>
      <c r="H32" s="480"/>
      <c r="I32" s="480"/>
      <c r="J32" s="478"/>
      <c r="K32" s="479"/>
    </row>
    <row r="33" spans="2:11">
      <c r="B33" s="409" t="s">
        <v>1172</v>
      </c>
      <c r="C33" s="376" t="s">
        <v>122</v>
      </c>
      <c r="D33" s="376"/>
      <c r="E33" s="343" t="s">
        <v>19</v>
      </c>
      <c r="F33" s="506"/>
      <c r="G33" s="506">
        <v>280</v>
      </c>
      <c r="H33" s="480"/>
      <c r="I33" s="480"/>
      <c r="J33" s="478"/>
      <c r="K33" s="479"/>
    </row>
    <row r="34" spans="2:11">
      <c r="B34" s="409" t="s">
        <v>1172</v>
      </c>
      <c r="C34" s="376" t="s">
        <v>156</v>
      </c>
      <c r="D34" s="376"/>
      <c r="E34" s="343" t="s">
        <v>19</v>
      </c>
      <c r="F34" s="506"/>
      <c r="G34" s="506">
        <v>320</v>
      </c>
      <c r="H34" s="480"/>
      <c r="I34" s="480"/>
      <c r="J34" s="478"/>
      <c r="K34" s="479"/>
    </row>
    <row r="35" spans="2:11">
      <c r="B35" s="409" t="s">
        <v>1172</v>
      </c>
      <c r="C35" s="376" t="s">
        <v>158</v>
      </c>
      <c r="D35" s="376"/>
      <c r="E35" s="343" t="s">
        <v>19</v>
      </c>
      <c r="F35" s="506"/>
      <c r="G35" s="506">
        <v>650</v>
      </c>
      <c r="H35" s="480"/>
      <c r="I35" s="480"/>
      <c r="J35" s="478"/>
      <c r="K35" s="479"/>
    </row>
    <row r="36" spans="2:11">
      <c r="B36" s="409" t="s">
        <v>1172</v>
      </c>
      <c r="C36" s="376" t="s">
        <v>176</v>
      </c>
      <c r="D36" s="376"/>
      <c r="E36" s="343" t="s">
        <v>19</v>
      </c>
      <c r="F36" s="506"/>
      <c r="G36" s="506">
        <v>770</v>
      </c>
      <c r="H36" s="480"/>
      <c r="I36" s="480"/>
      <c r="J36" s="478"/>
      <c r="K36" s="479"/>
    </row>
    <row r="37" spans="2:11">
      <c r="B37" s="923" t="s">
        <v>1173</v>
      </c>
      <c r="C37" s="924"/>
      <c r="D37" s="924"/>
      <c r="E37" s="924"/>
      <c r="F37" s="924"/>
      <c r="G37" s="925"/>
      <c r="H37" s="478"/>
      <c r="I37" s="478"/>
      <c r="J37" s="478"/>
      <c r="K37" s="479"/>
    </row>
    <row r="38" spans="2:11">
      <c r="B38" s="404" t="s">
        <v>93</v>
      </c>
      <c r="C38" s="42"/>
      <c r="D38" s="42"/>
      <c r="E38" s="343" t="s">
        <v>19</v>
      </c>
      <c r="F38" s="530"/>
      <c r="G38" s="481">
        <v>41</v>
      </c>
      <c r="H38" s="478"/>
      <c r="I38" s="478"/>
      <c r="J38" s="478"/>
      <c r="K38" s="479"/>
    </row>
    <row r="39" spans="2:11">
      <c r="B39" s="404" t="s">
        <v>93</v>
      </c>
      <c r="C39" s="42" t="s">
        <v>47</v>
      </c>
      <c r="D39" s="42" t="s">
        <v>80</v>
      </c>
      <c r="E39" s="343" t="s">
        <v>19</v>
      </c>
      <c r="F39" s="530"/>
      <c r="G39" s="481">
        <v>46</v>
      </c>
      <c r="H39" s="478"/>
      <c r="I39" s="478"/>
      <c r="J39" s="478"/>
      <c r="K39" s="479"/>
    </row>
    <row r="40" spans="2:11">
      <c r="B40" s="404" t="s">
        <v>93</v>
      </c>
      <c r="C40" s="42" t="s">
        <v>49</v>
      </c>
      <c r="D40" s="42" t="s">
        <v>81</v>
      </c>
      <c r="E40" s="343" t="s">
        <v>19</v>
      </c>
      <c r="F40" s="530"/>
      <c r="G40" s="481">
        <v>52</v>
      </c>
      <c r="H40" s="478"/>
      <c r="I40" s="478"/>
      <c r="J40" s="478"/>
      <c r="K40" s="479"/>
    </row>
    <row r="41" spans="2:11">
      <c r="B41" s="404" t="s">
        <v>93</v>
      </c>
      <c r="C41" s="42" t="s">
        <v>51</v>
      </c>
      <c r="D41" s="42" t="s">
        <v>82</v>
      </c>
      <c r="E41" s="343" t="s">
        <v>19</v>
      </c>
      <c r="F41" s="530"/>
      <c r="G41" s="481">
        <v>65</v>
      </c>
      <c r="H41" s="478"/>
      <c r="I41" s="478"/>
      <c r="J41" s="478"/>
      <c r="K41" s="479"/>
    </row>
    <row r="42" spans="2:11">
      <c r="B42" s="404" t="s">
        <v>93</v>
      </c>
      <c r="C42" s="42" t="s">
        <v>53</v>
      </c>
      <c r="D42" s="42" t="s">
        <v>83</v>
      </c>
      <c r="E42" s="343" t="s">
        <v>19</v>
      </c>
      <c r="F42" s="530"/>
      <c r="G42" s="481">
        <v>72</v>
      </c>
      <c r="H42" s="478"/>
      <c r="I42" s="478"/>
      <c r="J42" s="478"/>
      <c r="K42" s="479"/>
    </row>
    <row r="43" spans="2:11">
      <c r="B43" s="404" t="s">
        <v>93</v>
      </c>
      <c r="C43" s="42" t="s">
        <v>55</v>
      </c>
      <c r="D43" s="42" t="s">
        <v>84</v>
      </c>
      <c r="E43" s="343" t="s">
        <v>19</v>
      </c>
      <c r="F43" s="530"/>
      <c r="G43" s="481">
        <v>80</v>
      </c>
      <c r="H43" s="478"/>
      <c r="I43" s="478"/>
      <c r="J43" s="478"/>
      <c r="K43" s="479"/>
    </row>
    <row r="44" spans="2:11">
      <c r="B44" s="404" t="s">
        <v>93</v>
      </c>
      <c r="C44" s="42" t="s">
        <v>57</v>
      </c>
      <c r="D44" s="42" t="s">
        <v>56</v>
      </c>
      <c r="E44" s="343" t="s">
        <v>19</v>
      </c>
      <c r="F44" s="530"/>
      <c r="G44" s="481">
        <v>82</v>
      </c>
      <c r="H44" s="478"/>
      <c r="I44" s="478"/>
      <c r="J44" s="478"/>
      <c r="K44" s="479"/>
    </row>
    <row r="45" spans="2:11">
      <c r="B45" s="404" t="s">
        <v>93</v>
      </c>
      <c r="C45" s="42" t="s">
        <v>59</v>
      </c>
      <c r="D45" s="42" t="s">
        <v>922</v>
      </c>
      <c r="E45" s="343" t="s">
        <v>19</v>
      </c>
      <c r="F45" s="530"/>
      <c r="G45" s="481">
        <v>93</v>
      </c>
      <c r="H45" s="478"/>
      <c r="I45" s="478"/>
      <c r="J45" s="478"/>
      <c r="K45" s="479"/>
    </row>
    <row r="46" spans="2:11">
      <c r="B46" s="404" t="s">
        <v>93</v>
      </c>
      <c r="C46" s="42" t="s">
        <v>60</v>
      </c>
      <c r="D46" s="42" t="s">
        <v>61</v>
      </c>
      <c r="E46" s="343" t="s">
        <v>19</v>
      </c>
      <c r="F46" s="530"/>
      <c r="G46" s="481">
        <v>105</v>
      </c>
      <c r="H46" s="478"/>
      <c r="I46" s="478"/>
      <c r="J46" s="478"/>
      <c r="K46" s="479"/>
    </row>
    <row r="47" spans="2:11">
      <c r="B47" s="404" t="s">
        <v>93</v>
      </c>
      <c r="C47" s="42" t="s">
        <v>62</v>
      </c>
      <c r="D47" s="42" t="s">
        <v>926</v>
      </c>
      <c r="E47" s="343" t="s">
        <v>19</v>
      </c>
      <c r="F47" s="530"/>
      <c r="G47" s="481">
        <v>120</v>
      </c>
      <c r="H47" s="478"/>
      <c r="I47" s="478"/>
      <c r="J47" s="478"/>
      <c r="K47" s="479"/>
    </row>
    <row r="48" spans="2:11">
      <c r="B48" s="926" t="s">
        <v>1174</v>
      </c>
      <c r="C48" s="927"/>
      <c r="D48" s="927"/>
      <c r="E48" s="927"/>
      <c r="F48" s="927"/>
      <c r="G48" s="928"/>
      <c r="H48" s="478"/>
      <c r="I48" s="478"/>
      <c r="J48" s="478"/>
      <c r="K48" s="479"/>
    </row>
    <row r="49" spans="2:11">
      <c r="B49" s="404" t="s">
        <v>44</v>
      </c>
      <c r="C49" s="42" t="s">
        <v>47</v>
      </c>
      <c r="D49" s="42"/>
      <c r="E49" s="343" t="s">
        <v>19</v>
      </c>
      <c r="F49" s="506"/>
      <c r="G49" s="481">
        <v>35</v>
      </c>
      <c r="H49" s="478"/>
      <c r="I49" s="478"/>
      <c r="J49" s="478"/>
      <c r="K49" s="479"/>
    </row>
    <row r="50" spans="2:11">
      <c r="B50" s="404" t="s">
        <v>44</v>
      </c>
      <c r="C50" s="42" t="s">
        <v>49</v>
      </c>
      <c r="D50" s="42"/>
      <c r="E50" s="343" t="s">
        <v>19</v>
      </c>
      <c r="F50" s="506"/>
      <c r="G50" s="481">
        <v>36</v>
      </c>
      <c r="H50" s="478"/>
      <c r="I50" s="478"/>
      <c r="J50" s="478"/>
      <c r="K50" s="479"/>
    </row>
    <row r="51" spans="2:11">
      <c r="B51" s="404" t="s">
        <v>44</v>
      </c>
      <c r="C51" s="42" t="s">
        <v>51</v>
      </c>
      <c r="D51" s="42"/>
      <c r="E51" s="343" t="s">
        <v>19</v>
      </c>
      <c r="F51" s="506"/>
      <c r="G51" s="481">
        <v>40</v>
      </c>
      <c r="H51" s="478"/>
      <c r="I51" s="478"/>
      <c r="J51" s="478"/>
      <c r="K51" s="479"/>
    </row>
    <row r="52" spans="2:11">
      <c r="B52" s="404" t="s">
        <v>44</v>
      </c>
      <c r="C52" s="42" t="s">
        <v>53</v>
      </c>
      <c r="D52" s="42"/>
      <c r="E52" s="343" t="s">
        <v>19</v>
      </c>
      <c r="F52" s="506"/>
      <c r="G52" s="481">
        <v>43</v>
      </c>
      <c r="H52" s="478"/>
      <c r="I52" s="478"/>
      <c r="J52" s="478"/>
      <c r="K52" s="479"/>
    </row>
    <row r="53" spans="2:11">
      <c r="B53" s="404" t="s">
        <v>44</v>
      </c>
      <c r="C53" s="42" t="s">
        <v>55</v>
      </c>
      <c r="D53" s="42"/>
      <c r="E53" s="343" t="s">
        <v>19</v>
      </c>
      <c r="F53" s="506"/>
      <c r="G53" s="481">
        <v>55</v>
      </c>
      <c r="H53" s="478"/>
      <c r="I53" s="478"/>
      <c r="J53" s="478"/>
      <c r="K53" s="479"/>
    </row>
    <row r="54" spans="2:11">
      <c r="B54" s="404" t="s">
        <v>44</v>
      </c>
      <c r="C54" s="42" t="s">
        <v>57</v>
      </c>
      <c r="D54" s="42"/>
      <c r="E54" s="343" t="s">
        <v>19</v>
      </c>
      <c r="F54" s="506"/>
      <c r="G54" s="481">
        <v>62</v>
      </c>
      <c r="H54" s="478"/>
      <c r="I54" s="478"/>
      <c r="J54" s="478"/>
      <c r="K54" s="479"/>
    </row>
    <row r="55" spans="2:11">
      <c r="B55" s="404" t="s">
        <v>44</v>
      </c>
      <c r="C55" s="42" t="s">
        <v>59</v>
      </c>
      <c r="D55" s="42"/>
      <c r="E55" s="343" t="s">
        <v>19</v>
      </c>
      <c r="F55" s="506"/>
      <c r="G55" s="481">
        <v>70</v>
      </c>
      <c r="H55" s="478"/>
      <c r="I55" s="478"/>
      <c r="J55" s="478"/>
      <c r="K55" s="479"/>
    </row>
    <row r="56" spans="2:11">
      <c r="B56" s="404" t="s">
        <v>44</v>
      </c>
      <c r="C56" s="42" t="s">
        <v>60</v>
      </c>
      <c r="D56" s="42"/>
      <c r="E56" s="343" t="s">
        <v>19</v>
      </c>
      <c r="F56" s="506"/>
      <c r="G56" s="481">
        <v>80</v>
      </c>
      <c r="H56" s="478"/>
      <c r="I56" s="478"/>
      <c r="J56" s="478"/>
      <c r="K56" s="479"/>
    </row>
    <row r="57" spans="2:11">
      <c r="B57" s="404" t="s">
        <v>44</v>
      </c>
      <c r="C57" s="42" t="s">
        <v>62</v>
      </c>
      <c r="D57" s="42"/>
      <c r="E57" s="343" t="s">
        <v>19</v>
      </c>
      <c r="F57" s="506"/>
      <c r="G57" s="481">
        <v>95</v>
      </c>
      <c r="H57" s="478"/>
      <c r="I57" s="478"/>
      <c r="J57" s="478"/>
      <c r="K57" s="479"/>
    </row>
    <row r="58" spans="2:11">
      <c r="B58" s="926" t="s">
        <v>1175</v>
      </c>
      <c r="C58" s="927"/>
      <c r="D58" s="927"/>
      <c r="E58" s="927"/>
      <c r="F58" s="927"/>
      <c r="G58" s="928"/>
      <c r="H58" s="478"/>
      <c r="I58" s="478"/>
      <c r="J58" s="478"/>
      <c r="K58" s="479"/>
    </row>
    <row r="59" spans="2:11">
      <c r="B59" s="272" t="s">
        <v>258</v>
      </c>
      <c r="C59" s="42" t="s">
        <v>47</v>
      </c>
      <c r="D59" s="42"/>
      <c r="E59" s="378" t="s">
        <v>19</v>
      </c>
      <c r="F59" s="506"/>
      <c r="G59" s="481">
        <v>96</v>
      </c>
      <c r="H59" s="478"/>
      <c r="I59" s="478"/>
      <c r="J59" s="478"/>
      <c r="K59" s="479"/>
    </row>
    <row r="60" spans="2:11">
      <c r="B60" s="272" t="s">
        <v>258</v>
      </c>
      <c r="C60" s="42" t="s">
        <v>49</v>
      </c>
      <c r="D60" s="42"/>
      <c r="E60" s="378" t="s">
        <v>19</v>
      </c>
      <c r="F60" s="506"/>
      <c r="G60" s="481">
        <v>118</v>
      </c>
      <c r="H60" s="478"/>
      <c r="I60" s="478"/>
      <c r="J60" s="478"/>
      <c r="K60" s="479"/>
    </row>
    <row r="61" spans="2:11">
      <c r="B61" s="272" t="s">
        <v>258</v>
      </c>
      <c r="C61" s="42" t="s">
        <v>51</v>
      </c>
      <c r="D61" s="42"/>
      <c r="E61" s="378" t="s">
        <v>19</v>
      </c>
      <c r="F61" s="506"/>
      <c r="G61" s="481">
        <v>125</v>
      </c>
      <c r="H61" s="478"/>
      <c r="I61" s="478"/>
      <c r="J61" s="478"/>
      <c r="K61" s="479"/>
    </row>
    <row r="62" spans="2:11">
      <c r="B62" s="272" t="s">
        <v>258</v>
      </c>
      <c r="C62" s="42" t="s">
        <v>53</v>
      </c>
      <c r="D62" s="42"/>
      <c r="E62" s="378" t="s">
        <v>19</v>
      </c>
      <c r="F62" s="506"/>
      <c r="G62" s="481">
        <v>131</v>
      </c>
      <c r="H62" s="478"/>
      <c r="I62" s="478"/>
      <c r="J62" s="478"/>
      <c r="K62" s="479"/>
    </row>
    <row r="63" spans="2:11">
      <c r="B63" s="272" t="s">
        <v>258</v>
      </c>
      <c r="C63" s="42" t="s">
        <v>55</v>
      </c>
      <c r="D63" s="42"/>
      <c r="E63" s="378" t="s">
        <v>19</v>
      </c>
      <c r="F63" s="506"/>
      <c r="G63" s="481">
        <v>173</v>
      </c>
      <c r="H63" s="478"/>
      <c r="I63" s="478"/>
      <c r="J63" s="478"/>
      <c r="K63" s="479"/>
    </row>
    <row r="64" spans="2:11">
      <c r="B64" s="272" t="s">
        <v>258</v>
      </c>
      <c r="C64" s="42" t="s">
        <v>57</v>
      </c>
      <c r="D64" s="42"/>
      <c r="E64" s="378" t="s">
        <v>19</v>
      </c>
      <c r="F64" s="506"/>
      <c r="G64" s="481">
        <v>175</v>
      </c>
      <c r="H64" s="478"/>
      <c r="I64" s="478"/>
      <c r="J64" s="478"/>
      <c r="K64" s="479"/>
    </row>
    <row r="65" spans="2:11">
      <c r="B65" s="272" t="s">
        <v>258</v>
      </c>
      <c r="C65" s="42" t="s">
        <v>59</v>
      </c>
      <c r="D65" s="42"/>
      <c r="E65" s="378" t="s">
        <v>19</v>
      </c>
      <c r="F65" s="506"/>
      <c r="G65" s="481">
        <v>183</v>
      </c>
      <c r="H65" s="478"/>
      <c r="I65" s="478"/>
      <c r="J65" s="478"/>
      <c r="K65" s="479"/>
    </row>
    <row r="66" spans="2:11">
      <c r="B66" s="272" t="s">
        <v>258</v>
      </c>
      <c r="C66" s="42" t="s">
        <v>60</v>
      </c>
      <c r="D66" s="42"/>
      <c r="E66" s="378" t="s">
        <v>19</v>
      </c>
      <c r="F66" s="506"/>
      <c r="G66" s="481">
        <v>192</v>
      </c>
      <c r="H66" s="478"/>
      <c r="I66" s="478"/>
      <c r="J66" s="478"/>
      <c r="K66" s="479"/>
    </row>
    <row r="67" spans="2:11">
      <c r="B67" s="272" t="s">
        <v>258</v>
      </c>
      <c r="C67" s="42" t="s">
        <v>62</v>
      </c>
      <c r="D67" s="42"/>
      <c r="E67" s="378" t="s">
        <v>19</v>
      </c>
      <c r="F67" s="506"/>
      <c r="G67" s="481">
        <v>306</v>
      </c>
      <c r="H67" s="478"/>
      <c r="I67" s="478"/>
      <c r="J67" s="478"/>
      <c r="K67" s="479"/>
    </row>
    <row r="68" spans="2:11">
      <c r="B68" s="272" t="s">
        <v>258</v>
      </c>
      <c r="C68" s="42" t="s">
        <v>63</v>
      </c>
      <c r="D68" s="42"/>
      <c r="E68" s="378" t="s">
        <v>19</v>
      </c>
      <c r="F68" s="506"/>
      <c r="G68" s="481">
        <v>315</v>
      </c>
      <c r="H68" s="478"/>
      <c r="I68" s="478"/>
      <c r="J68" s="478"/>
      <c r="K68" s="479"/>
    </row>
    <row r="69" spans="2:11">
      <c r="B69" s="272" t="s">
        <v>258</v>
      </c>
      <c r="C69" s="42" t="s">
        <v>66</v>
      </c>
      <c r="D69" s="42"/>
      <c r="E69" s="378" t="s">
        <v>19</v>
      </c>
      <c r="F69" s="506"/>
      <c r="G69" s="481">
        <v>367</v>
      </c>
      <c r="H69" s="478"/>
      <c r="I69" s="478"/>
      <c r="J69" s="478"/>
      <c r="K69" s="479"/>
    </row>
    <row r="70" spans="2:11">
      <c r="B70" s="272" t="s">
        <v>258</v>
      </c>
      <c r="C70" s="42" t="s">
        <v>121</v>
      </c>
      <c r="D70" s="42"/>
      <c r="E70" s="378" t="s">
        <v>19</v>
      </c>
      <c r="F70" s="506"/>
      <c r="G70" s="481">
        <v>385</v>
      </c>
      <c r="H70" s="478"/>
      <c r="I70" s="478"/>
      <c r="J70" s="478"/>
      <c r="K70" s="479"/>
    </row>
    <row r="71" spans="2:11">
      <c r="B71" s="272" t="s">
        <v>258</v>
      </c>
      <c r="C71" s="42" t="s">
        <v>122</v>
      </c>
      <c r="D71" s="42"/>
      <c r="E71" s="378" t="s">
        <v>19</v>
      </c>
      <c r="F71" s="506"/>
      <c r="G71" s="481">
        <v>420</v>
      </c>
      <c r="H71" s="478"/>
      <c r="I71" s="478"/>
      <c r="J71" s="478"/>
      <c r="K71" s="479"/>
    </row>
    <row r="72" spans="2:11">
      <c r="B72" s="272" t="s">
        <v>258</v>
      </c>
      <c r="C72" s="42" t="s">
        <v>156</v>
      </c>
      <c r="D72" s="42"/>
      <c r="E72" s="378" t="s">
        <v>19</v>
      </c>
      <c r="F72" s="506"/>
      <c r="G72" s="481">
        <v>463</v>
      </c>
      <c r="H72" s="478"/>
      <c r="I72" s="478"/>
      <c r="J72" s="478"/>
      <c r="K72" s="479"/>
    </row>
    <row r="73" spans="2:11">
      <c r="B73" s="923" t="s">
        <v>1176</v>
      </c>
      <c r="C73" s="924"/>
      <c r="D73" s="924"/>
      <c r="E73" s="924"/>
      <c r="F73" s="924"/>
      <c r="G73" s="925"/>
      <c r="H73" s="478"/>
      <c r="I73" s="478"/>
      <c r="J73" s="478"/>
      <c r="K73" s="479"/>
    </row>
    <row r="74" spans="2:11">
      <c r="B74" s="272" t="s">
        <v>1177</v>
      </c>
      <c r="C74" s="42" t="s">
        <v>47</v>
      </c>
      <c r="D74" s="42" t="s">
        <v>285</v>
      </c>
      <c r="E74" s="343" t="s">
        <v>19</v>
      </c>
      <c r="F74" s="506"/>
      <c r="G74" s="481">
        <v>20</v>
      </c>
      <c r="H74" s="478"/>
      <c r="I74" s="478"/>
      <c r="J74" s="482"/>
      <c r="K74" s="482"/>
    </row>
    <row r="75" spans="2:11">
      <c r="B75" s="272" t="s">
        <v>1177</v>
      </c>
      <c r="C75" s="42" t="s">
        <v>47</v>
      </c>
      <c r="D75" s="42" t="s">
        <v>21</v>
      </c>
      <c r="E75" s="343" t="s">
        <v>19</v>
      </c>
      <c r="F75" s="506"/>
      <c r="G75" s="481">
        <v>24</v>
      </c>
      <c r="H75" s="478"/>
      <c r="I75" s="478"/>
      <c r="J75" s="482"/>
      <c r="K75" s="482"/>
    </row>
    <row r="76" spans="2:11">
      <c r="B76" s="272" t="s">
        <v>1177</v>
      </c>
      <c r="C76" s="42" t="s">
        <v>49</v>
      </c>
      <c r="D76" s="42" t="s">
        <v>23</v>
      </c>
      <c r="E76" s="343" t="s">
        <v>19</v>
      </c>
      <c r="F76" s="506"/>
      <c r="G76" s="481">
        <v>28</v>
      </c>
      <c r="H76" s="478"/>
      <c r="I76" s="478"/>
      <c r="J76" s="482"/>
      <c r="K76" s="482"/>
    </row>
    <row r="77" spans="2:11">
      <c r="B77" s="272" t="s">
        <v>1177</v>
      </c>
      <c r="C77" s="42" t="s">
        <v>51</v>
      </c>
      <c r="D77" s="42" t="s">
        <v>25</v>
      </c>
      <c r="E77" s="343" t="s">
        <v>19</v>
      </c>
      <c r="F77" s="506"/>
      <c r="G77" s="481">
        <v>34</v>
      </c>
      <c r="H77" s="478"/>
      <c r="I77" s="478"/>
      <c r="J77" s="482"/>
      <c r="K77" s="482"/>
    </row>
    <row r="78" spans="2:11">
      <c r="B78" s="923" t="s">
        <v>1178</v>
      </c>
      <c r="C78" s="924"/>
      <c r="D78" s="924"/>
      <c r="E78" s="924"/>
      <c r="F78" s="924"/>
      <c r="G78" s="925"/>
      <c r="H78" s="478"/>
      <c r="I78" s="478"/>
      <c r="J78" s="478"/>
      <c r="K78" s="479"/>
    </row>
    <row r="79" spans="2:11">
      <c r="B79" s="404" t="s">
        <v>385</v>
      </c>
      <c r="C79" s="42" t="s">
        <v>47</v>
      </c>
      <c r="D79" s="42" t="s">
        <v>285</v>
      </c>
      <c r="E79" s="343" t="s">
        <v>19</v>
      </c>
      <c r="F79" s="506"/>
      <c r="G79" s="481">
        <v>31</v>
      </c>
      <c r="H79" s="478"/>
      <c r="I79" s="478"/>
      <c r="J79" s="478"/>
      <c r="K79" s="479"/>
    </row>
    <row r="80" spans="2:11">
      <c r="B80" s="404" t="s">
        <v>385</v>
      </c>
      <c r="C80" s="42" t="s">
        <v>47</v>
      </c>
      <c r="D80" s="42" t="s">
        <v>21</v>
      </c>
      <c r="E80" s="343" t="s">
        <v>19</v>
      </c>
      <c r="F80" s="506"/>
      <c r="G80" s="481">
        <v>32</v>
      </c>
      <c r="H80" s="478"/>
      <c r="I80" s="478"/>
      <c r="J80" s="478"/>
      <c r="K80" s="479"/>
    </row>
    <row r="81" spans="2:11">
      <c r="B81" s="404" t="s">
        <v>385</v>
      </c>
      <c r="C81" s="42" t="s">
        <v>49</v>
      </c>
      <c r="D81" s="42" t="s">
        <v>23</v>
      </c>
      <c r="E81" s="343" t="s">
        <v>19</v>
      </c>
      <c r="F81" s="506"/>
      <c r="G81" s="481">
        <v>36</v>
      </c>
      <c r="H81" s="478"/>
      <c r="I81" s="478"/>
      <c r="J81" s="478"/>
      <c r="K81" s="479"/>
    </row>
    <row r="82" spans="2:11">
      <c r="B82" s="404" t="s">
        <v>385</v>
      </c>
      <c r="C82" s="42" t="s">
        <v>51</v>
      </c>
      <c r="D82" s="42" t="s">
        <v>25</v>
      </c>
      <c r="E82" s="343" t="s">
        <v>19</v>
      </c>
      <c r="F82" s="506"/>
      <c r="G82" s="481">
        <v>43</v>
      </c>
      <c r="H82" s="478"/>
      <c r="I82" s="478"/>
      <c r="J82" s="478"/>
      <c r="K82" s="479"/>
    </row>
    <row r="83" spans="2:11">
      <c r="B83" s="404" t="s">
        <v>385</v>
      </c>
      <c r="C83" s="42" t="s">
        <v>53</v>
      </c>
      <c r="D83" s="42" t="s">
        <v>27</v>
      </c>
      <c r="E83" s="343" t="s">
        <v>19</v>
      </c>
      <c r="F83" s="506"/>
      <c r="G83" s="481">
        <v>57</v>
      </c>
      <c r="H83" s="478"/>
      <c r="I83" s="478"/>
      <c r="J83" s="478"/>
      <c r="K83" s="479"/>
    </row>
    <row r="84" spans="2:11">
      <c r="B84" s="404" t="s">
        <v>385</v>
      </c>
      <c r="C84" s="42" t="s">
        <v>55</v>
      </c>
      <c r="D84" s="42" t="s">
        <v>29</v>
      </c>
      <c r="E84" s="343" t="s">
        <v>19</v>
      </c>
      <c r="F84" s="506"/>
      <c r="G84" s="481">
        <v>64</v>
      </c>
      <c r="H84" s="478"/>
      <c r="I84" s="478"/>
      <c r="J84" s="478"/>
      <c r="K84" s="479"/>
    </row>
    <row r="85" spans="2:11">
      <c r="B85" s="404" t="s">
        <v>385</v>
      </c>
      <c r="C85" s="42" t="s">
        <v>57</v>
      </c>
      <c r="D85" s="42" t="s">
        <v>376</v>
      </c>
      <c r="E85" s="343" t="s">
        <v>19</v>
      </c>
      <c r="F85" s="506"/>
      <c r="G85" s="481">
        <v>68</v>
      </c>
      <c r="H85" s="478"/>
      <c r="I85" s="478"/>
      <c r="J85" s="478"/>
      <c r="K85" s="479"/>
    </row>
    <row r="86" spans="2:11">
      <c r="B86" s="404" t="s">
        <v>385</v>
      </c>
      <c r="C86" s="42" t="s">
        <v>59</v>
      </c>
      <c r="D86" s="42" t="s">
        <v>357</v>
      </c>
      <c r="E86" s="343" t="s">
        <v>19</v>
      </c>
      <c r="F86" s="506"/>
      <c r="G86" s="481">
        <v>72</v>
      </c>
      <c r="H86" s="478"/>
      <c r="I86" s="478"/>
      <c r="J86" s="478"/>
      <c r="K86" s="479"/>
    </row>
    <row r="87" spans="2:11">
      <c r="B87" s="404" t="s">
        <v>385</v>
      </c>
      <c r="C87" s="42" t="s">
        <v>60</v>
      </c>
      <c r="D87" s="42" t="s">
        <v>377</v>
      </c>
      <c r="E87" s="343" t="s">
        <v>19</v>
      </c>
      <c r="F87" s="506"/>
      <c r="G87" s="481">
        <v>74</v>
      </c>
      <c r="H87" s="478"/>
      <c r="I87" s="478"/>
      <c r="J87" s="478"/>
      <c r="K87" s="479"/>
    </row>
    <row r="88" spans="2:11">
      <c r="B88" s="404" t="s">
        <v>385</v>
      </c>
      <c r="C88" s="42" t="s">
        <v>62</v>
      </c>
      <c r="D88" s="42" t="s">
        <v>326</v>
      </c>
      <c r="E88" s="343" t="s">
        <v>19</v>
      </c>
      <c r="F88" s="506"/>
      <c r="G88" s="481">
        <v>79</v>
      </c>
      <c r="H88" s="478"/>
      <c r="I88" s="478"/>
      <c r="J88" s="478"/>
      <c r="K88" s="479"/>
    </row>
    <row r="89" spans="2:11">
      <c r="B89" s="923" t="s">
        <v>1179</v>
      </c>
      <c r="C89" s="924"/>
      <c r="D89" s="924"/>
      <c r="E89" s="924"/>
      <c r="F89" s="924"/>
      <c r="G89" s="925"/>
      <c r="H89" s="478"/>
      <c r="I89" s="478"/>
      <c r="J89" s="478"/>
      <c r="K89" s="479"/>
    </row>
    <row r="90" spans="2:11">
      <c r="B90" s="404" t="s">
        <v>77</v>
      </c>
      <c r="C90" s="42" t="s">
        <v>47</v>
      </c>
      <c r="D90" s="42" t="s">
        <v>79</v>
      </c>
      <c r="E90" s="378" t="s">
        <v>1119</v>
      </c>
      <c r="F90" s="506"/>
      <c r="G90" s="481">
        <v>41</v>
      </c>
      <c r="H90" s="478"/>
      <c r="I90" s="478"/>
      <c r="J90" s="478"/>
      <c r="K90" s="479"/>
    </row>
    <row r="91" spans="2:11">
      <c r="B91" s="404" t="s">
        <v>77</v>
      </c>
      <c r="C91" s="42" t="s">
        <v>47</v>
      </c>
      <c r="D91" s="42" t="s">
        <v>80</v>
      </c>
      <c r="E91" s="378" t="s">
        <v>1119</v>
      </c>
      <c r="F91" s="506"/>
      <c r="G91" s="481">
        <v>46</v>
      </c>
      <c r="H91" s="478"/>
      <c r="I91" s="478"/>
      <c r="J91" s="478"/>
      <c r="K91" s="479"/>
    </row>
    <row r="92" spans="2:11">
      <c r="B92" s="404" t="s">
        <v>77</v>
      </c>
      <c r="C92" s="42" t="s">
        <v>49</v>
      </c>
      <c r="D92" s="42" t="s">
        <v>81</v>
      </c>
      <c r="E92" s="378" t="s">
        <v>1119</v>
      </c>
      <c r="F92" s="506"/>
      <c r="G92" s="481">
        <v>52</v>
      </c>
      <c r="H92" s="478"/>
      <c r="I92" s="478"/>
      <c r="J92" s="478"/>
      <c r="K92" s="479"/>
    </row>
    <row r="93" spans="2:11">
      <c r="B93" s="404" t="s">
        <v>77</v>
      </c>
      <c r="C93" s="42" t="s">
        <v>51</v>
      </c>
      <c r="D93" s="42" t="s">
        <v>82</v>
      </c>
      <c r="E93" s="378" t="s">
        <v>1119</v>
      </c>
      <c r="F93" s="506"/>
      <c r="G93" s="481">
        <v>65</v>
      </c>
      <c r="H93" s="478"/>
      <c r="I93" s="478"/>
      <c r="J93" s="478"/>
      <c r="K93" s="479"/>
    </row>
    <row r="94" spans="2:11">
      <c r="B94" s="404" t="s">
        <v>77</v>
      </c>
      <c r="C94" s="42" t="s">
        <v>53</v>
      </c>
      <c r="D94" s="42" t="s">
        <v>83</v>
      </c>
      <c r="E94" s="378" t="s">
        <v>1119</v>
      </c>
      <c r="F94" s="506"/>
      <c r="G94" s="481">
        <v>72</v>
      </c>
      <c r="H94" s="478"/>
      <c r="I94" s="478"/>
      <c r="J94" s="478"/>
      <c r="K94" s="479"/>
    </row>
    <row r="95" spans="2:11">
      <c r="B95" s="404" t="s">
        <v>77</v>
      </c>
      <c r="C95" s="42" t="s">
        <v>55</v>
      </c>
      <c r="D95" s="42" t="s">
        <v>84</v>
      </c>
      <c r="E95" s="378" t="s">
        <v>1119</v>
      </c>
      <c r="F95" s="506"/>
      <c r="G95" s="481">
        <v>80</v>
      </c>
      <c r="H95" s="478"/>
      <c r="I95" s="478"/>
      <c r="J95" s="478"/>
      <c r="K95" s="479"/>
    </row>
    <row r="96" spans="2:11">
      <c r="B96" s="404" t="s">
        <v>77</v>
      </c>
      <c r="C96" s="42" t="s">
        <v>57</v>
      </c>
      <c r="D96" s="42" t="s">
        <v>56</v>
      </c>
      <c r="E96" s="378" t="s">
        <v>1119</v>
      </c>
      <c r="F96" s="506"/>
      <c r="G96" s="481">
        <v>82</v>
      </c>
      <c r="H96" s="478"/>
      <c r="I96" s="478"/>
      <c r="J96" s="478"/>
      <c r="K96" s="479"/>
    </row>
    <row r="97" spans="2:11">
      <c r="B97" s="404" t="s">
        <v>77</v>
      </c>
      <c r="C97" s="42" t="s">
        <v>59</v>
      </c>
      <c r="D97" s="42" t="s">
        <v>922</v>
      </c>
      <c r="E97" s="378" t="s">
        <v>1119</v>
      </c>
      <c r="F97" s="506"/>
      <c r="G97" s="481">
        <v>93</v>
      </c>
      <c r="H97" s="478"/>
      <c r="I97" s="478"/>
      <c r="J97" s="478"/>
      <c r="K97" s="479"/>
    </row>
    <row r="98" spans="2:11">
      <c r="B98" s="404" t="s">
        <v>77</v>
      </c>
      <c r="C98" s="42" t="s">
        <v>60</v>
      </c>
      <c r="D98" s="42" t="s">
        <v>61</v>
      </c>
      <c r="E98" s="378" t="s">
        <v>1119</v>
      </c>
      <c r="F98" s="506"/>
      <c r="G98" s="481">
        <v>105</v>
      </c>
      <c r="H98" s="478"/>
      <c r="I98" s="478"/>
      <c r="J98" s="478"/>
      <c r="K98" s="479"/>
    </row>
    <row r="99" spans="2:11" ht="15.75" thickBot="1">
      <c r="B99" s="404" t="s">
        <v>77</v>
      </c>
      <c r="C99" s="42" t="s">
        <v>62</v>
      </c>
      <c r="D99" s="42" t="s">
        <v>926</v>
      </c>
      <c r="E99" s="378" t="s">
        <v>1119</v>
      </c>
      <c r="F99" s="506"/>
      <c r="G99" s="481">
        <v>120</v>
      </c>
      <c r="H99" s="478"/>
      <c r="I99" s="478"/>
      <c r="J99" s="478"/>
      <c r="K99" s="479"/>
    </row>
    <row r="100" spans="2:11">
      <c r="B100" s="929" t="s">
        <v>1180</v>
      </c>
      <c r="C100" s="930"/>
      <c r="D100" s="930"/>
      <c r="E100" s="930"/>
      <c r="F100" s="930"/>
      <c r="G100" s="931"/>
      <c r="H100" s="340"/>
      <c r="I100" s="340"/>
      <c r="J100" s="359"/>
      <c r="K100" s="359"/>
    </row>
    <row r="101" spans="2:11">
      <c r="B101" s="932" t="s">
        <v>1181</v>
      </c>
      <c r="C101" s="932"/>
      <c r="D101" s="932"/>
      <c r="E101" s="932"/>
      <c r="F101" s="932"/>
      <c r="G101" s="932"/>
      <c r="H101" s="478"/>
      <c r="I101" s="478"/>
      <c r="J101" s="478"/>
      <c r="K101" s="479"/>
    </row>
    <row r="102" spans="2:11">
      <c r="B102" s="404" t="s">
        <v>1182</v>
      </c>
      <c r="C102" s="42" t="s">
        <v>47</v>
      </c>
      <c r="D102" s="42" t="s">
        <v>283</v>
      </c>
      <c r="E102" s="378" t="s">
        <v>1119</v>
      </c>
      <c r="F102" s="506"/>
      <c r="G102" s="481">
        <v>10</v>
      </c>
      <c r="H102" s="478"/>
      <c r="I102" s="478"/>
      <c r="J102" s="478"/>
      <c r="K102" s="479"/>
    </row>
    <row r="103" spans="2:11">
      <c r="B103" s="404" t="s">
        <v>1182</v>
      </c>
      <c r="C103" s="42" t="s">
        <v>47</v>
      </c>
      <c r="D103" s="42" t="s">
        <v>285</v>
      </c>
      <c r="E103" s="378" t="s">
        <v>1119</v>
      </c>
      <c r="F103" s="506"/>
      <c r="G103" s="481">
        <v>10</v>
      </c>
      <c r="H103" s="482"/>
      <c r="I103" s="478"/>
      <c r="J103" s="478"/>
      <c r="K103" s="479"/>
    </row>
    <row r="104" spans="2:11">
      <c r="B104" s="404" t="s">
        <v>1182</v>
      </c>
      <c r="C104" s="42" t="s">
        <v>47</v>
      </c>
      <c r="D104" s="42" t="s">
        <v>21</v>
      </c>
      <c r="E104" s="378" t="s">
        <v>1119</v>
      </c>
      <c r="F104" s="506"/>
      <c r="G104" s="481">
        <v>10</v>
      </c>
      <c r="H104" s="482"/>
      <c r="I104" s="478"/>
      <c r="J104" s="478"/>
      <c r="K104" s="479"/>
    </row>
    <row r="105" spans="2:11">
      <c r="B105" s="404" t="s">
        <v>1182</v>
      </c>
      <c r="C105" s="42" t="s">
        <v>49</v>
      </c>
      <c r="D105" s="42" t="s">
        <v>23</v>
      </c>
      <c r="E105" s="378" t="s">
        <v>1119</v>
      </c>
      <c r="F105" s="506"/>
      <c r="G105" s="481">
        <v>10</v>
      </c>
      <c r="H105" s="482"/>
      <c r="I105" s="478"/>
      <c r="J105" s="478"/>
      <c r="K105" s="479"/>
    </row>
    <row r="106" spans="2:11">
      <c r="B106" s="933" t="s">
        <v>1183</v>
      </c>
      <c r="C106" s="933"/>
      <c r="D106" s="933"/>
      <c r="E106" s="933"/>
      <c r="F106" s="933"/>
      <c r="G106" s="933"/>
      <c r="H106" s="531"/>
      <c r="I106" s="478"/>
      <c r="J106" s="478"/>
      <c r="K106" s="479"/>
    </row>
    <row r="107" spans="2:11">
      <c r="B107" s="483" t="s">
        <v>269</v>
      </c>
      <c r="C107" s="376" t="s">
        <v>47</v>
      </c>
      <c r="D107" s="376" t="s">
        <v>285</v>
      </c>
      <c r="E107" s="343" t="s">
        <v>19</v>
      </c>
      <c r="F107" s="506"/>
      <c r="G107" s="506">
        <v>25</v>
      </c>
      <c r="H107" s="482"/>
      <c r="I107" s="480"/>
      <c r="J107" s="478"/>
      <c r="K107" s="479"/>
    </row>
    <row r="108" spans="2:11">
      <c r="B108" s="483" t="s">
        <v>269</v>
      </c>
      <c r="C108" s="376" t="s">
        <v>47</v>
      </c>
      <c r="D108" s="376" t="s">
        <v>21</v>
      </c>
      <c r="E108" s="343" t="s">
        <v>19</v>
      </c>
      <c r="F108" s="506"/>
      <c r="G108" s="506">
        <v>25</v>
      </c>
      <c r="H108" s="482"/>
      <c r="I108" s="480"/>
      <c r="J108" s="478"/>
      <c r="K108" s="479"/>
    </row>
    <row r="109" spans="2:11">
      <c r="B109" s="483" t="s">
        <v>269</v>
      </c>
      <c r="C109" s="376" t="s">
        <v>49</v>
      </c>
      <c r="D109" s="376" t="s">
        <v>23</v>
      </c>
      <c r="E109" s="343" t="s">
        <v>19</v>
      </c>
      <c r="F109" s="506"/>
      <c r="G109" s="506">
        <v>25</v>
      </c>
      <c r="H109" s="482"/>
      <c r="I109" s="480"/>
      <c r="J109" s="478"/>
      <c r="K109" s="479"/>
    </row>
    <row r="110" spans="2:11">
      <c r="B110" s="483" t="s">
        <v>269</v>
      </c>
      <c r="C110" s="376" t="s">
        <v>51</v>
      </c>
      <c r="D110" s="376" t="s">
        <v>25</v>
      </c>
      <c r="E110" s="343" t="s">
        <v>19</v>
      </c>
      <c r="F110" s="506"/>
      <c r="G110" s="506">
        <v>25</v>
      </c>
      <c r="H110" s="482"/>
      <c r="I110" s="480"/>
      <c r="J110" s="478"/>
      <c r="K110" s="479"/>
    </row>
    <row r="111" spans="2:11">
      <c r="B111" s="483" t="s">
        <v>269</v>
      </c>
      <c r="C111" s="376" t="s">
        <v>53</v>
      </c>
      <c r="D111" s="376" t="s">
        <v>27</v>
      </c>
      <c r="E111" s="343" t="s">
        <v>19</v>
      </c>
      <c r="F111" s="506"/>
      <c r="G111" s="506">
        <v>25</v>
      </c>
      <c r="H111" s="482"/>
      <c r="I111" s="480"/>
      <c r="J111" s="478"/>
      <c r="K111" s="479"/>
    </row>
    <row r="112" spans="2:11">
      <c r="B112" s="483" t="s">
        <v>269</v>
      </c>
      <c r="C112" s="376" t="s">
        <v>55</v>
      </c>
      <c r="D112" s="376" t="s">
        <v>29</v>
      </c>
      <c r="E112" s="343" t="s">
        <v>19</v>
      </c>
      <c r="F112" s="506"/>
      <c r="G112" s="506">
        <v>25</v>
      </c>
      <c r="H112" s="482"/>
      <c r="I112" s="480"/>
      <c r="J112" s="478"/>
      <c r="K112" s="479"/>
    </row>
    <row r="113" spans="2:11">
      <c r="B113" s="483" t="s">
        <v>269</v>
      </c>
      <c r="C113" s="376" t="s">
        <v>57</v>
      </c>
      <c r="D113" s="376" t="s">
        <v>376</v>
      </c>
      <c r="E113" s="343" t="s">
        <v>19</v>
      </c>
      <c r="F113" s="506"/>
      <c r="G113" s="506">
        <v>25</v>
      </c>
      <c r="H113" s="482"/>
      <c r="I113" s="480"/>
      <c r="J113" s="478"/>
      <c r="K113" s="479"/>
    </row>
    <row r="114" spans="2:11">
      <c r="B114" s="483" t="s">
        <v>269</v>
      </c>
      <c r="C114" s="376" t="s">
        <v>59</v>
      </c>
      <c r="D114" s="376" t="s">
        <v>357</v>
      </c>
      <c r="E114" s="343" t="s">
        <v>19</v>
      </c>
      <c r="F114" s="506"/>
      <c r="G114" s="506">
        <v>25</v>
      </c>
      <c r="H114" s="482"/>
      <c r="I114" s="480"/>
      <c r="J114" s="478"/>
      <c r="K114" s="479"/>
    </row>
    <row r="115" spans="2:11">
      <c r="B115" s="483" t="s">
        <v>269</v>
      </c>
      <c r="C115" s="376" t="s">
        <v>60</v>
      </c>
      <c r="D115" s="376" t="s">
        <v>377</v>
      </c>
      <c r="E115" s="343" t="s">
        <v>19</v>
      </c>
      <c r="F115" s="506"/>
      <c r="G115" s="506">
        <v>30</v>
      </c>
      <c r="H115" s="482"/>
      <c r="I115" s="480"/>
      <c r="J115" s="478"/>
      <c r="K115" s="479"/>
    </row>
    <row r="116" spans="2:11">
      <c r="B116" s="483" t="s">
        <v>269</v>
      </c>
      <c r="C116" s="376" t="s">
        <v>62</v>
      </c>
      <c r="D116" s="376" t="s">
        <v>326</v>
      </c>
      <c r="E116" s="343" t="s">
        <v>19</v>
      </c>
      <c r="F116" s="506"/>
      <c r="G116" s="506">
        <v>30</v>
      </c>
      <c r="H116" s="482"/>
      <c r="I116" s="480"/>
      <c r="J116" s="478"/>
      <c r="K116" s="479"/>
    </row>
    <row r="117" spans="2:11">
      <c r="B117" s="483" t="s">
        <v>269</v>
      </c>
      <c r="C117" s="376" t="s">
        <v>63</v>
      </c>
      <c r="D117" s="376" t="s">
        <v>64</v>
      </c>
      <c r="E117" s="343" t="s">
        <v>19</v>
      </c>
      <c r="F117" s="506"/>
      <c r="G117" s="506">
        <v>35</v>
      </c>
      <c r="H117" s="482"/>
      <c r="I117" s="480"/>
      <c r="J117" s="478"/>
      <c r="K117" s="479"/>
    </row>
    <row r="118" spans="2:11">
      <c r="B118" s="483" t="s">
        <v>269</v>
      </c>
      <c r="C118" s="376" t="s">
        <v>66</v>
      </c>
      <c r="D118" s="376" t="s">
        <v>120</v>
      </c>
      <c r="E118" s="343" t="s">
        <v>19</v>
      </c>
      <c r="F118" s="506"/>
      <c r="G118" s="506">
        <v>35</v>
      </c>
      <c r="H118" s="482"/>
      <c r="I118" s="480"/>
      <c r="J118" s="478"/>
      <c r="K118" s="479"/>
    </row>
    <row r="119" spans="2:11">
      <c r="B119" s="483" t="s">
        <v>269</v>
      </c>
      <c r="C119" s="376" t="s">
        <v>121</v>
      </c>
      <c r="D119" s="376" t="s">
        <v>154</v>
      </c>
      <c r="E119" s="343" t="s">
        <v>19</v>
      </c>
      <c r="F119" s="506"/>
      <c r="G119" s="506">
        <v>35</v>
      </c>
      <c r="H119" s="482"/>
      <c r="I119" s="480"/>
      <c r="J119" s="478"/>
      <c r="K119" s="479"/>
    </row>
    <row r="120" spans="2:11">
      <c r="B120" s="483" t="s">
        <v>269</v>
      </c>
      <c r="C120" s="376" t="s">
        <v>122</v>
      </c>
      <c r="D120" s="376" t="s">
        <v>155</v>
      </c>
      <c r="E120" s="343" t="s">
        <v>19</v>
      </c>
      <c r="F120" s="506"/>
      <c r="G120" s="506">
        <v>35</v>
      </c>
      <c r="H120" s="482"/>
      <c r="I120" s="480"/>
      <c r="J120" s="478"/>
      <c r="K120" s="479"/>
    </row>
    <row r="121" spans="2:11">
      <c r="B121" s="483" t="s">
        <v>269</v>
      </c>
      <c r="C121" s="376" t="s">
        <v>156</v>
      </c>
      <c r="D121" s="376" t="s">
        <v>157</v>
      </c>
      <c r="E121" s="343" t="s">
        <v>19</v>
      </c>
      <c r="F121" s="506"/>
      <c r="G121" s="506">
        <v>40</v>
      </c>
      <c r="H121" s="482"/>
      <c r="I121" s="480"/>
      <c r="J121" s="478"/>
      <c r="K121" s="479"/>
    </row>
    <row r="122" spans="2:11">
      <c r="B122" s="483" t="s">
        <v>269</v>
      </c>
      <c r="C122" s="376" t="s">
        <v>158</v>
      </c>
      <c r="D122" s="376" t="s">
        <v>159</v>
      </c>
      <c r="E122" s="343" t="s">
        <v>19</v>
      </c>
      <c r="F122" s="506"/>
      <c r="G122" s="506">
        <v>50</v>
      </c>
      <c r="H122" s="482"/>
      <c r="I122" s="480"/>
      <c r="J122" s="478"/>
      <c r="K122" s="479"/>
    </row>
    <row r="123" spans="2:11">
      <c r="B123" s="483" t="s">
        <v>269</v>
      </c>
      <c r="C123" s="376" t="s">
        <v>176</v>
      </c>
      <c r="D123" s="376" t="s">
        <v>370</v>
      </c>
      <c r="E123" s="343" t="s">
        <v>19</v>
      </c>
      <c r="F123" s="506"/>
      <c r="G123" s="506">
        <v>50</v>
      </c>
      <c r="H123" s="482"/>
      <c r="I123" s="480"/>
      <c r="J123" s="478"/>
      <c r="K123" s="479"/>
    </row>
    <row r="124" spans="2:11">
      <c r="B124" s="483" t="s">
        <v>269</v>
      </c>
      <c r="C124" s="376"/>
      <c r="D124" s="376"/>
      <c r="E124" s="402" t="s">
        <v>312</v>
      </c>
      <c r="F124" s="532"/>
      <c r="G124" s="506">
        <v>43</v>
      </c>
      <c r="H124" s="482"/>
      <c r="I124" s="480"/>
      <c r="J124" s="478"/>
      <c r="K124" s="479"/>
    </row>
    <row r="125" spans="2:11">
      <c r="B125" s="933" t="s">
        <v>1183</v>
      </c>
      <c r="C125" s="933"/>
      <c r="D125" s="933"/>
      <c r="E125" s="933"/>
      <c r="F125" s="933"/>
      <c r="G125" s="933"/>
      <c r="H125" s="531"/>
      <c r="I125" s="478"/>
      <c r="J125" s="478"/>
      <c r="K125" s="479"/>
    </row>
    <row r="126" spans="2:11">
      <c r="B126" s="483" t="s">
        <v>279</v>
      </c>
      <c r="C126" s="376" t="s">
        <v>47</v>
      </c>
      <c r="D126" s="376" t="s">
        <v>285</v>
      </c>
      <c r="E126" s="343" t="s">
        <v>19</v>
      </c>
      <c r="F126" s="506"/>
      <c r="G126" s="506">
        <v>25</v>
      </c>
      <c r="H126" s="482"/>
      <c r="I126" s="480"/>
      <c r="J126" s="478"/>
      <c r="K126" s="479"/>
    </row>
    <row r="127" spans="2:11">
      <c r="B127" s="483" t="s">
        <v>279</v>
      </c>
      <c r="C127" s="376" t="s">
        <v>47</v>
      </c>
      <c r="D127" s="376" t="s">
        <v>21</v>
      </c>
      <c r="E127" s="343" t="s">
        <v>19</v>
      </c>
      <c r="F127" s="506"/>
      <c r="G127" s="506">
        <v>25</v>
      </c>
      <c r="H127" s="482"/>
      <c r="I127" s="480"/>
      <c r="J127" s="478"/>
      <c r="K127" s="479"/>
    </row>
    <row r="128" spans="2:11">
      <c r="B128" s="483" t="s">
        <v>279</v>
      </c>
      <c r="C128" s="376" t="s">
        <v>49</v>
      </c>
      <c r="D128" s="376" t="s">
        <v>23</v>
      </c>
      <c r="E128" s="343" t="s">
        <v>19</v>
      </c>
      <c r="F128" s="506"/>
      <c r="G128" s="506">
        <v>25</v>
      </c>
      <c r="H128" s="482"/>
      <c r="I128" s="480"/>
      <c r="J128" s="478"/>
      <c r="K128" s="479"/>
    </row>
    <row r="129" spans="2:11">
      <c r="B129" s="483" t="s">
        <v>279</v>
      </c>
      <c r="C129" s="376" t="s">
        <v>51</v>
      </c>
      <c r="D129" s="376" t="s">
        <v>25</v>
      </c>
      <c r="E129" s="343" t="s">
        <v>19</v>
      </c>
      <c r="F129" s="506"/>
      <c r="G129" s="506">
        <v>25</v>
      </c>
      <c r="H129" s="482"/>
      <c r="I129" s="480"/>
      <c r="J129" s="478"/>
      <c r="K129" s="479"/>
    </row>
    <row r="130" spans="2:11">
      <c r="B130" s="483" t="s">
        <v>279</v>
      </c>
      <c r="C130" s="376" t="s">
        <v>53</v>
      </c>
      <c r="D130" s="376" t="s">
        <v>27</v>
      </c>
      <c r="E130" s="343" t="s">
        <v>19</v>
      </c>
      <c r="F130" s="506"/>
      <c r="G130" s="506">
        <v>25</v>
      </c>
      <c r="H130" s="482"/>
      <c r="I130" s="480"/>
      <c r="J130" s="478"/>
      <c r="K130" s="479"/>
    </row>
    <row r="131" spans="2:11">
      <c r="B131" s="483" t="s">
        <v>279</v>
      </c>
      <c r="C131" s="376" t="s">
        <v>55</v>
      </c>
      <c r="D131" s="376" t="s">
        <v>29</v>
      </c>
      <c r="E131" s="343" t="s">
        <v>19</v>
      </c>
      <c r="F131" s="506"/>
      <c r="G131" s="506">
        <v>42</v>
      </c>
      <c r="H131" s="482"/>
      <c r="I131" s="480"/>
      <c r="J131" s="478"/>
      <c r="K131" s="479"/>
    </row>
    <row r="132" spans="2:11">
      <c r="B132" s="483" t="s">
        <v>279</v>
      </c>
      <c r="C132" s="376" t="s">
        <v>57</v>
      </c>
      <c r="D132" s="376" t="s">
        <v>376</v>
      </c>
      <c r="E132" s="343" t="s">
        <v>19</v>
      </c>
      <c r="F132" s="506"/>
      <c r="G132" s="506">
        <v>47</v>
      </c>
      <c r="H132" s="482"/>
      <c r="I132" s="480"/>
      <c r="J132" s="478"/>
      <c r="K132" s="479"/>
    </row>
    <row r="133" spans="2:11">
      <c r="B133" s="483" t="s">
        <v>279</v>
      </c>
      <c r="C133" s="376" t="s">
        <v>59</v>
      </c>
      <c r="D133" s="376" t="s">
        <v>357</v>
      </c>
      <c r="E133" s="343" t="s">
        <v>19</v>
      </c>
      <c r="F133" s="506"/>
      <c r="G133" s="506">
        <v>81</v>
      </c>
      <c r="H133" s="482"/>
      <c r="I133" s="480"/>
      <c r="J133" s="478"/>
      <c r="K133" s="479"/>
    </row>
    <row r="134" spans="2:11">
      <c r="B134" s="483" t="s">
        <v>279</v>
      </c>
      <c r="C134" s="376" t="s">
        <v>60</v>
      </c>
      <c r="D134" s="376" t="s">
        <v>377</v>
      </c>
      <c r="E134" s="343" t="s">
        <v>19</v>
      </c>
      <c r="F134" s="506"/>
      <c r="G134" s="506">
        <v>92</v>
      </c>
      <c r="H134" s="482"/>
      <c r="I134" s="480"/>
      <c r="J134" s="478"/>
      <c r="K134" s="479"/>
    </row>
    <row r="135" spans="2:11">
      <c r="B135" s="483" t="s">
        <v>279</v>
      </c>
      <c r="C135" s="376" t="s">
        <v>62</v>
      </c>
      <c r="D135" s="376" t="s">
        <v>326</v>
      </c>
      <c r="E135" s="343" t="s">
        <v>19</v>
      </c>
      <c r="F135" s="506"/>
      <c r="G135" s="506">
        <v>144</v>
      </c>
      <c r="H135" s="482"/>
      <c r="I135" s="480"/>
      <c r="J135" s="478"/>
      <c r="K135" s="479"/>
    </row>
    <row r="136" spans="2:11">
      <c r="B136" s="483" t="s">
        <v>279</v>
      </c>
      <c r="C136" s="376" t="s">
        <v>63</v>
      </c>
      <c r="D136" s="376" t="s">
        <v>64</v>
      </c>
      <c r="E136" s="343" t="s">
        <v>19</v>
      </c>
      <c r="F136" s="506"/>
      <c r="G136" s="506">
        <v>151</v>
      </c>
      <c r="H136" s="482"/>
      <c r="I136" s="480"/>
      <c r="J136" s="478"/>
      <c r="K136" s="479"/>
    </row>
    <row r="137" spans="2:11">
      <c r="B137" s="483" t="s">
        <v>279</v>
      </c>
      <c r="C137" s="376" t="s">
        <v>66</v>
      </c>
      <c r="D137" s="376" t="s">
        <v>120</v>
      </c>
      <c r="E137" s="343" t="s">
        <v>19</v>
      </c>
      <c r="F137" s="506"/>
      <c r="G137" s="506">
        <v>167</v>
      </c>
      <c r="H137" s="482"/>
      <c r="I137" s="480"/>
      <c r="J137" s="478"/>
      <c r="K137" s="479"/>
    </row>
    <row r="138" spans="2:11">
      <c r="B138" s="483" t="s">
        <v>279</v>
      </c>
      <c r="C138" s="376" t="s">
        <v>121</v>
      </c>
      <c r="D138" s="376" t="s">
        <v>154</v>
      </c>
      <c r="E138" s="343" t="s">
        <v>19</v>
      </c>
      <c r="F138" s="506"/>
      <c r="G138" s="506">
        <v>194</v>
      </c>
      <c r="H138" s="482"/>
      <c r="I138" s="480"/>
      <c r="J138" s="478"/>
      <c r="K138" s="479"/>
    </row>
    <row r="139" spans="2:11">
      <c r="B139" s="483" t="s">
        <v>279</v>
      </c>
      <c r="C139" s="376" t="s">
        <v>122</v>
      </c>
      <c r="D139" s="376" t="s">
        <v>155</v>
      </c>
      <c r="E139" s="343" t="s">
        <v>19</v>
      </c>
      <c r="F139" s="506"/>
      <c r="G139" s="506">
        <v>223</v>
      </c>
      <c r="H139" s="482"/>
      <c r="I139" s="480"/>
      <c r="J139" s="478"/>
      <c r="K139" s="479"/>
    </row>
    <row r="140" spans="2:11">
      <c r="B140" s="483" t="s">
        <v>279</v>
      </c>
      <c r="C140" s="376" t="s">
        <v>156</v>
      </c>
      <c r="D140" s="376" t="s">
        <v>157</v>
      </c>
      <c r="E140" s="343" t="s">
        <v>19</v>
      </c>
      <c r="F140" s="506"/>
      <c r="G140" s="506">
        <v>251</v>
      </c>
      <c r="H140" s="482"/>
      <c r="I140" s="480"/>
      <c r="J140" s="478"/>
      <c r="K140" s="479"/>
    </row>
    <row r="141" spans="2:11">
      <c r="B141" s="483" t="s">
        <v>279</v>
      </c>
      <c r="C141" s="376" t="s">
        <v>158</v>
      </c>
      <c r="D141" s="376" t="s">
        <v>159</v>
      </c>
      <c r="E141" s="343" t="s">
        <v>19</v>
      </c>
      <c r="F141" s="506"/>
      <c r="G141" s="506">
        <v>268</v>
      </c>
      <c r="H141" s="482"/>
      <c r="I141" s="480"/>
      <c r="J141" s="478"/>
      <c r="K141" s="479"/>
    </row>
    <row r="142" spans="2:11">
      <c r="B142" s="483" t="s">
        <v>1108</v>
      </c>
      <c r="C142" s="376"/>
      <c r="D142" s="376"/>
      <c r="E142" s="402" t="s">
        <v>312</v>
      </c>
      <c r="F142" s="532"/>
      <c r="G142" s="506">
        <v>43</v>
      </c>
      <c r="H142" s="482"/>
      <c r="I142" s="480"/>
      <c r="J142" s="478"/>
      <c r="K142" s="479"/>
    </row>
    <row r="143" spans="2:11">
      <c r="B143" s="933" t="s">
        <v>1184</v>
      </c>
      <c r="C143" s="933"/>
      <c r="D143" s="933"/>
      <c r="E143" s="933"/>
      <c r="F143" s="933"/>
      <c r="G143" s="933"/>
      <c r="H143" s="531"/>
      <c r="I143" s="484" t="s">
        <v>1185</v>
      </c>
      <c r="J143" s="485"/>
      <c r="K143" s="485"/>
    </row>
    <row r="144" spans="2:11">
      <c r="B144" s="483" t="s">
        <v>1186</v>
      </c>
      <c r="C144" s="42" t="s">
        <v>47</v>
      </c>
      <c r="D144" s="42" t="s">
        <v>285</v>
      </c>
      <c r="E144" s="343" t="s">
        <v>19</v>
      </c>
      <c r="F144" s="506"/>
      <c r="G144" s="507">
        <v>25</v>
      </c>
      <c r="H144" s="482"/>
      <c r="I144" s="507">
        <v>25</v>
      </c>
      <c r="J144" s="478"/>
      <c r="K144" s="479"/>
    </row>
    <row r="145" spans="2:11">
      <c r="B145" s="483" t="s">
        <v>1186</v>
      </c>
      <c r="C145" s="42" t="s">
        <v>47</v>
      </c>
      <c r="D145" s="42" t="s">
        <v>21</v>
      </c>
      <c r="E145" s="343" t="s">
        <v>19</v>
      </c>
      <c r="F145" s="506"/>
      <c r="G145" s="507">
        <v>25</v>
      </c>
      <c r="H145" s="482"/>
      <c r="I145" s="507">
        <v>25</v>
      </c>
      <c r="J145" s="478"/>
      <c r="K145" s="479"/>
    </row>
    <row r="146" spans="2:11">
      <c r="B146" s="483" t="s">
        <v>1186</v>
      </c>
      <c r="C146" s="42" t="s">
        <v>49</v>
      </c>
      <c r="D146" s="42" t="s">
        <v>23</v>
      </c>
      <c r="E146" s="343" t="s">
        <v>19</v>
      </c>
      <c r="F146" s="506"/>
      <c r="G146" s="507">
        <v>25</v>
      </c>
      <c r="H146" s="482"/>
      <c r="I146" s="507">
        <v>25</v>
      </c>
      <c r="J146" s="478"/>
      <c r="K146" s="479"/>
    </row>
    <row r="147" spans="2:11">
      <c r="B147" s="483" t="s">
        <v>1186</v>
      </c>
      <c r="C147" s="42" t="s">
        <v>51</v>
      </c>
      <c r="D147" s="42" t="s">
        <v>25</v>
      </c>
      <c r="E147" s="343" t="s">
        <v>19</v>
      </c>
      <c r="F147" s="506"/>
      <c r="G147" s="507">
        <v>25</v>
      </c>
      <c r="H147" s="482"/>
      <c r="I147" s="507">
        <v>25</v>
      </c>
      <c r="J147" s="478"/>
      <c r="K147" s="479"/>
    </row>
    <row r="148" spans="2:11">
      <c r="B148" s="483" t="s">
        <v>1186</v>
      </c>
      <c r="C148" s="42" t="s">
        <v>53</v>
      </c>
      <c r="D148" s="42" t="s">
        <v>27</v>
      </c>
      <c r="E148" s="343" t="s">
        <v>19</v>
      </c>
      <c r="F148" s="506"/>
      <c r="G148" s="507">
        <v>25</v>
      </c>
      <c r="H148" s="482"/>
      <c r="I148" s="507">
        <v>25</v>
      </c>
      <c r="J148" s="478"/>
      <c r="K148" s="479"/>
    </row>
    <row r="149" spans="2:11">
      <c r="B149" s="483" t="s">
        <v>1186</v>
      </c>
      <c r="C149" s="42" t="s">
        <v>55</v>
      </c>
      <c r="D149" s="42" t="s">
        <v>29</v>
      </c>
      <c r="E149" s="343" t="s">
        <v>19</v>
      </c>
      <c r="F149" s="506"/>
      <c r="G149" s="507">
        <v>25</v>
      </c>
      <c r="H149" s="482"/>
      <c r="I149" s="507">
        <v>25</v>
      </c>
      <c r="J149" s="478"/>
      <c r="K149" s="479"/>
    </row>
    <row r="150" spans="2:11">
      <c r="B150" s="483" t="s">
        <v>1186</v>
      </c>
      <c r="C150" s="42" t="s">
        <v>57</v>
      </c>
      <c r="D150" s="42" t="s">
        <v>376</v>
      </c>
      <c r="E150" s="343" t="s">
        <v>19</v>
      </c>
      <c r="F150" s="506"/>
      <c r="G150" s="507">
        <v>25</v>
      </c>
      <c r="H150" s="482"/>
      <c r="I150" s="507">
        <v>43</v>
      </c>
      <c r="J150" s="478"/>
      <c r="K150" s="479"/>
    </row>
    <row r="151" spans="2:11">
      <c r="B151" s="483" t="s">
        <v>1186</v>
      </c>
      <c r="C151" s="42" t="s">
        <v>59</v>
      </c>
      <c r="D151" s="42" t="s">
        <v>357</v>
      </c>
      <c r="E151" s="343" t="s">
        <v>19</v>
      </c>
      <c r="F151" s="506"/>
      <c r="G151" s="507">
        <v>25</v>
      </c>
      <c r="H151" s="482"/>
      <c r="I151" s="507">
        <v>49</v>
      </c>
      <c r="J151" s="478"/>
      <c r="K151" s="479"/>
    </row>
    <row r="152" spans="2:11">
      <c r="B152" s="483" t="s">
        <v>1186</v>
      </c>
      <c r="C152" s="42" t="s">
        <v>60</v>
      </c>
      <c r="D152" s="42" t="s">
        <v>377</v>
      </c>
      <c r="E152" s="343" t="s">
        <v>19</v>
      </c>
      <c r="F152" s="506"/>
      <c r="G152" s="507">
        <v>30</v>
      </c>
      <c r="H152" s="482"/>
      <c r="I152" s="507">
        <v>58</v>
      </c>
      <c r="J152" s="478"/>
      <c r="K152" s="479"/>
    </row>
    <row r="153" spans="2:11">
      <c r="B153" s="483" t="s">
        <v>1186</v>
      </c>
      <c r="C153" s="42" t="s">
        <v>62</v>
      </c>
      <c r="D153" s="42" t="s">
        <v>326</v>
      </c>
      <c r="E153" s="343" t="s">
        <v>19</v>
      </c>
      <c r="F153" s="506"/>
      <c r="G153" s="507">
        <v>30</v>
      </c>
      <c r="H153" s="482"/>
      <c r="I153" s="507">
        <v>68</v>
      </c>
      <c r="J153" s="478"/>
      <c r="K153" s="479"/>
    </row>
    <row r="154" spans="2:11">
      <c r="B154" s="483" t="s">
        <v>1186</v>
      </c>
      <c r="C154" s="42" t="s">
        <v>63</v>
      </c>
      <c r="D154" s="42" t="s">
        <v>64</v>
      </c>
      <c r="E154" s="343" t="s">
        <v>19</v>
      </c>
      <c r="F154" s="506"/>
      <c r="G154" s="507">
        <v>30</v>
      </c>
      <c r="H154" s="482"/>
      <c r="I154" s="507">
        <v>74</v>
      </c>
      <c r="J154" s="478"/>
      <c r="K154" s="479"/>
    </row>
    <row r="155" spans="2:11">
      <c r="B155" s="483" t="s">
        <v>1186</v>
      </c>
      <c r="C155" s="42" t="s">
        <v>66</v>
      </c>
      <c r="D155" s="42" t="s">
        <v>120</v>
      </c>
      <c r="E155" s="343" t="s">
        <v>19</v>
      </c>
      <c r="F155" s="506"/>
      <c r="G155" s="507">
        <v>35</v>
      </c>
      <c r="H155" s="482"/>
      <c r="I155" s="507">
        <v>81</v>
      </c>
      <c r="J155" s="478"/>
      <c r="K155" s="479"/>
    </row>
    <row r="156" spans="2:11">
      <c r="B156" s="483" t="s">
        <v>1186</v>
      </c>
      <c r="C156" s="42" t="s">
        <v>121</v>
      </c>
      <c r="D156" s="42" t="s">
        <v>154</v>
      </c>
      <c r="E156" s="343" t="s">
        <v>19</v>
      </c>
      <c r="F156" s="506"/>
      <c r="G156" s="507">
        <v>41</v>
      </c>
      <c r="H156" s="482"/>
      <c r="I156" s="507">
        <v>95</v>
      </c>
      <c r="J156" s="478"/>
      <c r="K156" s="479"/>
    </row>
    <row r="157" spans="2:11">
      <c r="B157" s="483" t="s">
        <v>1186</v>
      </c>
      <c r="C157" s="42" t="s">
        <v>122</v>
      </c>
      <c r="D157" s="42" t="s">
        <v>155</v>
      </c>
      <c r="E157" s="343" t="s">
        <v>19</v>
      </c>
      <c r="F157" s="506"/>
      <c r="G157" s="507">
        <v>47</v>
      </c>
      <c r="H157" s="482"/>
      <c r="I157" s="507">
        <v>108</v>
      </c>
      <c r="J157" s="478"/>
      <c r="K157" s="479"/>
    </row>
    <row r="158" spans="2:11">
      <c r="B158" s="483" t="s">
        <v>1186</v>
      </c>
      <c r="C158" s="42" t="s">
        <v>156</v>
      </c>
      <c r="D158" s="42" t="s">
        <v>157</v>
      </c>
      <c r="E158" s="343" t="s">
        <v>19</v>
      </c>
      <c r="F158" s="506"/>
      <c r="G158" s="507">
        <v>54</v>
      </c>
      <c r="H158" s="482"/>
      <c r="I158" s="507">
        <v>122</v>
      </c>
      <c r="J158" s="478"/>
      <c r="K158" s="479"/>
    </row>
    <row r="159" spans="2:11">
      <c r="B159" s="483" t="s">
        <v>1186</v>
      </c>
      <c r="C159" s="42" t="s">
        <v>158</v>
      </c>
      <c r="D159" s="42" t="s">
        <v>159</v>
      </c>
      <c r="E159" s="343" t="s">
        <v>19</v>
      </c>
      <c r="F159" s="506"/>
      <c r="G159" s="507">
        <v>62</v>
      </c>
      <c r="H159" s="482"/>
      <c r="I159" s="507">
        <v>122</v>
      </c>
      <c r="J159" s="478"/>
      <c r="K159" s="479"/>
    </row>
    <row r="160" spans="2:11">
      <c r="B160" s="483" t="s">
        <v>1186</v>
      </c>
      <c r="C160" s="42" t="s">
        <v>176</v>
      </c>
      <c r="D160" s="42" t="s">
        <v>370</v>
      </c>
      <c r="E160" s="343" t="s">
        <v>19</v>
      </c>
      <c r="F160" s="506"/>
      <c r="G160" s="507">
        <v>68</v>
      </c>
      <c r="H160" s="482"/>
      <c r="I160" s="507">
        <v>151</v>
      </c>
      <c r="J160" s="478"/>
      <c r="K160" s="479"/>
    </row>
    <row r="161" spans="2:11">
      <c r="B161" s="483" t="s">
        <v>1186</v>
      </c>
      <c r="C161" s="42" t="s">
        <v>831</v>
      </c>
      <c r="D161" s="42" t="s">
        <v>1187</v>
      </c>
      <c r="E161" s="343" t="s">
        <v>19</v>
      </c>
      <c r="F161" s="506"/>
      <c r="G161" s="507">
        <v>75</v>
      </c>
      <c r="H161" s="482"/>
      <c r="I161" s="507">
        <v>163</v>
      </c>
      <c r="J161" s="478"/>
      <c r="K161" s="479"/>
    </row>
    <row r="162" spans="2:11">
      <c r="B162" s="483" t="s">
        <v>1186</v>
      </c>
      <c r="C162" s="42" t="s">
        <v>178</v>
      </c>
      <c r="D162" s="42" t="s">
        <v>371</v>
      </c>
      <c r="E162" s="343" t="s">
        <v>19</v>
      </c>
      <c r="F162" s="506"/>
      <c r="G162" s="507">
        <v>82</v>
      </c>
      <c r="H162" s="482"/>
      <c r="I162" s="507">
        <v>178</v>
      </c>
      <c r="J162" s="478"/>
      <c r="K162" s="479"/>
    </row>
    <row r="163" spans="2:11">
      <c r="B163" s="483" t="s">
        <v>1186</v>
      </c>
      <c r="C163" s="42" t="s">
        <v>190</v>
      </c>
      <c r="D163" s="42" t="s">
        <v>1188</v>
      </c>
      <c r="E163" s="343" t="s">
        <v>19</v>
      </c>
      <c r="F163" s="506"/>
      <c r="G163" s="507">
        <v>96</v>
      </c>
      <c r="H163" s="482"/>
      <c r="I163" s="507">
        <v>205</v>
      </c>
      <c r="J163" s="478"/>
      <c r="K163" s="479"/>
    </row>
    <row r="164" spans="2:11">
      <c r="B164" s="486" t="s">
        <v>1189</v>
      </c>
      <c r="C164" s="486"/>
      <c r="D164" s="486"/>
      <c r="E164" s="487" t="s">
        <v>312</v>
      </c>
      <c r="F164" s="533"/>
      <c r="G164" s="533">
        <v>43</v>
      </c>
      <c r="H164" s="482"/>
      <c r="I164" s="478"/>
      <c r="J164" s="478"/>
      <c r="K164" s="479"/>
    </row>
    <row r="165" spans="2:11">
      <c r="B165" s="940" t="s">
        <v>1190</v>
      </c>
      <c r="C165" s="940"/>
      <c r="D165" s="940"/>
      <c r="E165" s="940"/>
      <c r="F165" s="940"/>
      <c r="G165" s="940"/>
      <c r="H165" s="531"/>
      <c r="I165" s="478"/>
      <c r="J165" s="478"/>
      <c r="K165" s="479"/>
    </row>
    <row r="166" spans="2:11">
      <c r="B166" s="409" t="s">
        <v>313</v>
      </c>
      <c r="C166" s="409"/>
      <c r="D166" s="488">
        <v>95</v>
      </c>
      <c r="E166" s="343" t="s">
        <v>312</v>
      </c>
      <c r="F166" s="506"/>
      <c r="G166" s="507">
        <v>120</v>
      </c>
      <c r="H166" s="531"/>
      <c r="I166" s="478"/>
      <c r="J166" s="478"/>
      <c r="K166" s="479"/>
    </row>
    <row r="167" spans="2:11">
      <c r="B167" s="489" t="s">
        <v>314</v>
      </c>
      <c r="C167" s="489"/>
      <c r="D167" s="490">
        <v>120</v>
      </c>
      <c r="E167" s="491" t="s">
        <v>312</v>
      </c>
      <c r="F167" s="491"/>
      <c r="G167" s="507">
        <v>120</v>
      </c>
      <c r="H167" s="531"/>
      <c r="I167" s="478"/>
      <c r="J167" s="478"/>
      <c r="K167" s="479"/>
    </row>
    <row r="168" spans="2:11">
      <c r="B168" s="489" t="s">
        <v>315</v>
      </c>
      <c r="C168" s="489"/>
      <c r="D168" s="490">
        <v>140</v>
      </c>
      <c r="E168" s="491" t="s">
        <v>312</v>
      </c>
      <c r="F168" s="491"/>
      <c r="G168" s="507">
        <v>120</v>
      </c>
      <c r="H168" s="531"/>
      <c r="I168" s="478"/>
      <c r="J168" s="478"/>
      <c r="K168" s="479"/>
    </row>
    <row r="169" spans="2:11">
      <c r="B169" s="489" t="s">
        <v>316</v>
      </c>
      <c r="C169" s="489"/>
      <c r="D169" s="490">
        <v>290</v>
      </c>
      <c r="E169" s="491" t="s">
        <v>312</v>
      </c>
      <c r="F169" s="491"/>
      <c r="G169" s="507">
        <v>190</v>
      </c>
      <c r="H169" s="531"/>
      <c r="I169" s="478"/>
      <c r="J169" s="478"/>
      <c r="K169" s="479"/>
    </row>
    <row r="170" spans="2:11">
      <c r="B170" s="489" t="s">
        <v>317</v>
      </c>
      <c r="C170" s="489" t="s">
        <v>1118</v>
      </c>
      <c r="D170" s="489">
        <v>0.3</v>
      </c>
      <c r="E170" s="491" t="s">
        <v>1119</v>
      </c>
      <c r="F170" s="491"/>
      <c r="G170" s="507">
        <v>100</v>
      </c>
      <c r="H170" s="531"/>
      <c r="I170" s="478"/>
      <c r="J170" s="478"/>
      <c r="K170" s="479"/>
    </row>
    <row r="171" spans="2:11">
      <c r="B171" s="934" t="s">
        <v>1191</v>
      </c>
      <c r="C171" s="935"/>
      <c r="D171" s="935"/>
      <c r="E171" s="935"/>
      <c r="F171" s="935"/>
      <c r="G171" s="936"/>
      <c r="H171" s="531"/>
      <c r="I171" s="350"/>
      <c r="J171" s="492" t="s">
        <v>1192</v>
      </c>
      <c r="K171" s="359"/>
    </row>
    <row r="172" spans="2:11">
      <c r="B172" s="376" t="s">
        <v>1193</v>
      </c>
      <c r="C172" s="376" t="s">
        <v>1163</v>
      </c>
      <c r="D172" s="376"/>
      <c r="E172" s="343" t="s">
        <v>19</v>
      </c>
      <c r="F172" s="506">
        <v>70</v>
      </c>
      <c r="G172" s="506">
        <v>40</v>
      </c>
      <c r="H172" s="916"/>
      <c r="I172" s="534" t="s">
        <v>1194</v>
      </c>
      <c r="J172" s="493">
        <v>1.2</v>
      </c>
      <c r="K172" s="480"/>
    </row>
    <row r="173" spans="2:11">
      <c r="B173" s="376" t="s">
        <v>539</v>
      </c>
      <c r="C173" s="376" t="s">
        <v>1165</v>
      </c>
      <c r="D173" s="376"/>
      <c r="E173" s="343" t="s">
        <v>19</v>
      </c>
      <c r="F173" s="506">
        <v>90</v>
      </c>
      <c r="G173" s="506">
        <v>40</v>
      </c>
      <c r="H173" s="916"/>
      <c r="I173" s="534" t="s">
        <v>1195</v>
      </c>
      <c r="J173" s="493">
        <v>1.3</v>
      </c>
      <c r="K173" s="480"/>
    </row>
    <row r="174" spans="2:11">
      <c r="B174" s="940" t="s">
        <v>1196</v>
      </c>
      <c r="C174" s="940"/>
      <c r="D174" s="940"/>
      <c r="E174" s="940"/>
      <c r="F174" s="940"/>
      <c r="G174" s="940"/>
      <c r="H174" s="531"/>
      <c r="I174" s="494" t="s">
        <v>1197</v>
      </c>
      <c r="J174" s="493">
        <v>1.4</v>
      </c>
      <c r="K174" s="479"/>
    </row>
    <row r="175" spans="2:11">
      <c r="B175" s="409" t="s">
        <v>542</v>
      </c>
      <c r="C175" s="409"/>
      <c r="D175" s="409"/>
      <c r="E175" s="343" t="s">
        <v>312</v>
      </c>
      <c r="F175" s="506">
        <v>70</v>
      </c>
      <c r="G175" s="535">
        <v>30</v>
      </c>
      <c r="H175" s="531"/>
      <c r="I175" s="494" t="s">
        <v>1198</v>
      </c>
      <c r="J175" s="493">
        <v>1.5</v>
      </c>
      <c r="K175" s="359"/>
    </row>
    <row r="176" spans="2:11">
      <c r="B176" s="940" t="s">
        <v>1199</v>
      </c>
      <c r="C176" s="940"/>
      <c r="D176" s="940"/>
      <c r="E176" s="940"/>
      <c r="F176" s="940"/>
      <c r="G176" s="940"/>
      <c r="H176" s="531"/>
      <c r="I176" s="494" t="s">
        <v>1200</v>
      </c>
      <c r="J176" s="493">
        <v>1.6</v>
      </c>
      <c r="K176" s="479"/>
    </row>
    <row r="177" spans="2:11">
      <c r="B177" s="937" t="s">
        <v>1201</v>
      </c>
      <c r="C177" s="938"/>
      <c r="D177" s="938"/>
      <c r="E177" s="938"/>
      <c r="F177" s="938"/>
      <c r="G177" s="939"/>
      <c r="H177" s="531"/>
      <c r="I177" s="494" t="s">
        <v>1202</v>
      </c>
      <c r="J177" s="493">
        <v>1.8</v>
      </c>
      <c r="K177" s="479"/>
    </row>
    <row r="178" spans="2:11">
      <c r="B178" s="409" t="s">
        <v>1203</v>
      </c>
      <c r="C178" s="376" t="s">
        <v>47</v>
      </c>
      <c r="D178" s="409"/>
      <c r="E178" s="343" t="s">
        <v>100</v>
      </c>
      <c r="F178" s="506"/>
      <c r="G178" s="506">
        <v>37</v>
      </c>
      <c r="H178" s="531"/>
      <c r="I178" s="494" t="s">
        <v>1022</v>
      </c>
      <c r="J178" s="493">
        <v>2.2999999999999998</v>
      </c>
      <c r="K178" s="359"/>
    </row>
    <row r="179" spans="2:11">
      <c r="B179" s="409" t="s">
        <v>1203</v>
      </c>
      <c r="C179" s="376" t="s">
        <v>49</v>
      </c>
      <c r="D179" s="376"/>
      <c r="E179" s="343" t="s">
        <v>100</v>
      </c>
      <c r="F179" s="506"/>
      <c r="G179" s="506">
        <v>50</v>
      </c>
      <c r="H179" s="531"/>
      <c r="I179" s="494" t="s">
        <v>72</v>
      </c>
      <c r="J179" s="493">
        <v>2.2999999999999998</v>
      </c>
      <c r="K179" s="359"/>
    </row>
    <row r="180" spans="2:11">
      <c r="B180" s="409" t="s">
        <v>1203</v>
      </c>
      <c r="C180" s="376" t="s">
        <v>51</v>
      </c>
      <c r="D180" s="376"/>
      <c r="E180" s="343" t="s">
        <v>100</v>
      </c>
      <c r="F180" s="506"/>
      <c r="G180" s="506">
        <v>56</v>
      </c>
      <c r="H180" s="531"/>
      <c r="I180" s="494" t="s">
        <v>1204</v>
      </c>
      <c r="J180" s="493">
        <v>2.8</v>
      </c>
      <c r="K180" s="359"/>
    </row>
    <row r="181" spans="2:11">
      <c r="B181" s="409" t="s">
        <v>1203</v>
      </c>
      <c r="C181" s="376" t="s">
        <v>53</v>
      </c>
      <c r="D181" s="376"/>
      <c r="E181" s="343" t="s">
        <v>100</v>
      </c>
      <c r="F181" s="506"/>
      <c r="G181" s="506">
        <v>62</v>
      </c>
      <c r="H181" s="531"/>
      <c r="I181" s="494" t="s">
        <v>1205</v>
      </c>
      <c r="J181" s="493">
        <v>3.2</v>
      </c>
      <c r="K181" s="359"/>
    </row>
    <row r="182" spans="2:11">
      <c r="B182" s="409" t="s">
        <v>1203</v>
      </c>
      <c r="C182" s="376" t="s">
        <v>55</v>
      </c>
      <c r="D182" s="376"/>
      <c r="E182" s="343" t="s">
        <v>100</v>
      </c>
      <c r="F182" s="506"/>
      <c r="G182" s="506">
        <v>81</v>
      </c>
      <c r="H182" s="531"/>
      <c r="I182" s="494" t="s">
        <v>1206</v>
      </c>
      <c r="J182" s="493">
        <v>3.8</v>
      </c>
      <c r="K182" s="359"/>
    </row>
    <row r="183" spans="2:11">
      <c r="B183" s="409" t="s">
        <v>1203</v>
      </c>
      <c r="C183" s="376" t="s">
        <v>57</v>
      </c>
      <c r="D183" s="376"/>
      <c r="E183" s="343" t="s">
        <v>100</v>
      </c>
      <c r="F183" s="506"/>
      <c r="G183" s="506">
        <v>100</v>
      </c>
      <c r="H183" s="531"/>
      <c r="I183" s="494" t="s">
        <v>1207</v>
      </c>
      <c r="J183" s="493">
        <v>4.5</v>
      </c>
      <c r="K183" s="359"/>
    </row>
    <row r="184" spans="2:11">
      <c r="B184" s="409" t="s">
        <v>1203</v>
      </c>
      <c r="C184" s="376" t="s">
        <v>59</v>
      </c>
      <c r="D184" s="376"/>
      <c r="E184" s="343" t="s">
        <v>100</v>
      </c>
      <c r="F184" s="506"/>
      <c r="G184" s="506">
        <v>125</v>
      </c>
      <c r="H184" s="531"/>
      <c r="I184" s="494" t="s">
        <v>1208</v>
      </c>
      <c r="J184" s="493">
        <v>5.3</v>
      </c>
      <c r="K184" s="359"/>
    </row>
    <row r="185" spans="2:11">
      <c r="B185" s="409" t="s">
        <v>1203</v>
      </c>
      <c r="C185" s="376" t="s">
        <v>60</v>
      </c>
      <c r="D185" s="376"/>
      <c r="E185" s="343" t="s">
        <v>100</v>
      </c>
      <c r="F185" s="506"/>
      <c r="G185" s="506">
        <v>150</v>
      </c>
      <c r="H185" s="531"/>
      <c r="I185" s="494" t="s">
        <v>1209</v>
      </c>
      <c r="J185" s="493">
        <v>6.3</v>
      </c>
      <c r="K185" s="359"/>
    </row>
    <row r="186" spans="2:11">
      <c r="B186" s="409" t="s">
        <v>1203</v>
      </c>
      <c r="C186" s="376" t="s">
        <v>62</v>
      </c>
      <c r="D186" s="376"/>
      <c r="E186" s="343" t="s">
        <v>100</v>
      </c>
      <c r="F186" s="506"/>
      <c r="G186" s="506">
        <v>175</v>
      </c>
      <c r="H186" s="531"/>
      <c r="I186" s="478"/>
      <c r="J186" s="479"/>
      <c r="K186" s="359"/>
    </row>
    <row r="187" spans="2:11">
      <c r="B187" s="409" t="s">
        <v>1203</v>
      </c>
      <c r="C187" s="376" t="s">
        <v>63</v>
      </c>
      <c r="D187" s="376"/>
      <c r="E187" s="343" t="s">
        <v>100</v>
      </c>
      <c r="F187" s="506"/>
      <c r="G187" s="506">
        <v>225</v>
      </c>
      <c r="H187" s="531"/>
      <c r="I187" s="478"/>
      <c r="J187" s="479"/>
      <c r="K187" s="359"/>
    </row>
    <row r="188" spans="2:11">
      <c r="B188" s="409" t="s">
        <v>1203</v>
      </c>
      <c r="C188" s="376" t="s">
        <v>66</v>
      </c>
      <c r="D188" s="376"/>
      <c r="E188" s="343" t="s">
        <v>100</v>
      </c>
      <c r="F188" s="506"/>
      <c r="G188" s="506">
        <v>262</v>
      </c>
      <c r="H188" s="531"/>
      <c r="I188" s="478"/>
      <c r="J188" s="479"/>
      <c r="K188" s="359"/>
    </row>
    <row r="189" spans="2:11">
      <c r="B189" s="409" t="s">
        <v>1203</v>
      </c>
      <c r="C189" s="376" t="s">
        <v>121</v>
      </c>
      <c r="D189" s="376"/>
      <c r="E189" s="343" t="s">
        <v>100</v>
      </c>
      <c r="F189" s="506"/>
      <c r="G189" s="507">
        <v>337</v>
      </c>
      <c r="H189" s="531"/>
      <c r="I189" s="478"/>
      <c r="J189" s="478"/>
      <c r="K189" s="479"/>
    </row>
    <row r="190" spans="2:11">
      <c r="B190" s="409" t="s">
        <v>1203</v>
      </c>
      <c r="C190" s="376" t="s">
        <v>122</v>
      </c>
      <c r="D190" s="376"/>
      <c r="E190" s="343" t="s">
        <v>100</v>
      </c>
      <c r="F190" s="506"/>
      <c r="G190" s="507">
        <v>425</v>
      </c>
      <c r="H190" s="531"/>
      <c r="I190" s="478"/>
      <c r="J190" s="478"/>
      <c r="K190" s="479"/>
    </row>
    <row r="191" spans="2:11">
      <c r="B191" s="409" t="s">
        <v>166</v>
      </c>
      <c r="C191" s="376"/>
      <c r="D191" s="376"/>
      <c r="E191" s="343" t="s">
        <v>100</v>
      </c>
      <c r="F191" s="506"/>
      <c r="G191" s="507">
        <v>50</v>
      </c>
      <c r="H191" s="531"/>
      <c r="I191" s="478"/>
      <c r="J191" s="478"/>
      <c r="K191" s="479"/>
    </row>
    <row r="192" spans="2:11">
      <c r="B192" s="937" t="s">
        <v>1210</v>
      </c>
      <c r="C192" s="938"/>
      <c r="D192" s="938"/>
      <c r="E192" s="938"/>
      <c r="F192" s="938"/>
      <c r="G192" s="939"/>
      <c r="H192" s="531"/>
      <c r="I192" s="478"/>
      <c r="J192" s="478"/>
      <c r="K192" s="479"/>
    </row>
    <row r="193" spans="2:11">
      <c r="B193" s="409" t="s">
        <v>1211</v>
      </c>
      <c r="C193" s="42" t="s">
        <v>47</v>
      </c>
      <c r="D193" s="42" t="s">
        <v>99</v>
      </c>
      <c r="E193" s="343" t="s">
        <v>100</v>
      </c>
      <c r="F193" s="506"/>
      <c r="G193" s="507">
        <v>25</v>
      </c>
      <c r="H193" s="531"/>
      <c r="I193" s="478"/>
      <c r="J193" s="478"/>
      <c r="K193" s="479"/>
    </row>
    <row r="194" spans="2:11">
      <c r="B194" s="409" t="s">
        <v>1211</v>
      </c>
      <c r="C194" s="42" t="s">
        <v>49</v>
      </c>
      <c r="D194" s="42" t="s">
        <v>104</v>
      </c>
      <c r="E194" s="343" t="s">
        <v>100</v>
      </c>
      <c r="F194" s="506"/>
      <c r="G194" s="507">
        <v>30</v>
      </c>
      <c r="H194" s="531"/>
      <c r="I194" s="478"/>
      <c r="J194" s="478"/>
      <c r="K194" s="479"/>
    </row>
    <row r="195" spans="2:11">
      <c r="B195" s="409" t="s">
        <v>1211</v>
      </c>
      <c r="C195" s="42" t="s">
        <v>51</v>
      </c>
      <c r="D195" s="42" t="s">
        <v>105</v>
      </c>
      <c r="E195" s="343" t="s">
        <v>100</v>
      </c>
      <c r="F195" s="506"/>
      <c r="G195" s="507">
        <v>35</v>
      </c>
      <c r="H195" s="531"/>
      <c r="I195" s="478"/>
      <c r="J195" s="478"/>
      <c r="K195" s="479"/>
    </row>
    <row r="196" spans="2:11">
      <c r="B196" s="409" t="s">
        <v>1211</v>
      </c>
      <c r="C196" s="42" t="s">
        <v>53</v>
      </c>
      <c r="D196" s="42" t="s">
        <v>106</v>
      </c>
      <c r="E196" s="343" t="s">
        <v>100</v>
      </c>
      <c r="F196" s="506"/>
      <c r="G196" s="507">
        <v>50</v>
      </c>
      <c r="H196" s="531"/>
      <c r="I196" s="478"/>
      <c r="J196" s="478"/>
      <c r="K196" s="479"/>
    </row>
    <row r="197" spans="2:11">
      <c r="B197" s="409" t="s">
        <v>1211</v>
      </c>
      <c r="C197" s="42" t="s">
        <v>55</v>
      </c>
      <c r="D197" s="42" t="s">
        <v>107</v>
      </c>
      <c r="E197" s="343" t="s">
        <v>100</v>
      </c>
      <c r="F197" s="506"/>
      <c r="G197" s="507">
        <v>55</v>
      </c>
      <c r="H197" s="531"/>
      <c r="I197" s="478"/>
      <c r="J197" s="478"/>
      <c r="K197" s="479"/>
    </row>
    <row r="198" spans="2:11">
      <c r="B198" s="409" t="s">
        <v>1211</v>
      </c>
      <c r="C198" s="42" t="s">
        <v>57</v>
      </c>
      <c r="D198" s="42" t="s">
        <v>31</v>
      </c>
      <c r="E198" s="343" t="s">
        <v>100</v>
      </c>
      <c r="F198" s="506"/>
      <c r="G198" s="507">
        <v>75</v>
      </c>
      <c r="H198" s="531"/>
      <c r="I198" s="478"/>
      <c r="J198" s="478"/>
      <c r="K198" s="479"/>
    </row>
    <row r="199" spans="2:11" ht="23.25">
      <c r="B199" s="409" t="s">
        <v>1212</v>
      </c>
      <c r="C199" s="42" t="s">
        <v>59</v>
      </c>
      <c r="D199" s="42" t="s">
        <v>1041</v>
      </c>
      <c r="E199" s="343" t="s">
        <v>100</v>
      </c>
      <c r="F199" s="506"/>
      <c r="G199" s="507">
        <v>120</v>
      </c>
      <c r="H199" s="531"/>
      <c r="I199" s="478"/>
      <c r="J199" s="478"/>
      <c r="K199" s="479"/>
    </row>
    <row r="200" spans="2:11" ht="23.25">
      <c r="B200" s="409" t="s">
        <v>1212</v>
      </c>
      <c r="C200" s="42" t="s">
        <v>60</v>
      </c>
      <c r="D200" s="42" t="s">
        <v>1042</v>
      </c>
      <c r="E200" s="343" t="s">
        <v>100</v>
      </c>
      <c r="F200" s="506"/>
      <c r="G200" s="507">
        <v>150</v>
      </c>
      <c r="H200" s="531"/>
      <c r="I200" s="478"/>
      <c r="J200" s="478"/>
      <c r="K200" s="479"/>
    </row>
    <row r="201" spans="2:11" ht="23.25">
      <c r="B201" s="409" t="s">
        <v>1212</v>
      </c>
      <c r="C201" s="42" t="s">
        <v>62</v>
      </c>
      <c r="D201" s="42" t="s">
        <v>1043</v>
      </c>
      <c r="E201" s="343" t="s">
        <v>100</v>
      </c>
      <c r="F201" s="506"/>
      <c r="G201" s="507">
        <v>162</v>
      </c>
      <c r="H201" s="531"/>
      <c r="I201" s="478"/>
      <c r="J201" s="478"/>
      <c r="K201" s="479"/>
    </row>
    <row r="202" spans="2:11" ht="23.25">
      <c r="B202" s="409" t="s">
        <v>1212</v>
      </c>
      <c r="C202" s="42" t="s">
        <v>63</v>
      </c>
      <c r="D202" s="42" t="s">
        <v>64</v>
      </c>
      <c r="E202" s="343" t="s">
        <v>100</v>
      </c>
      <c r="F202" s="506"/>
      <c r="G202" s="507">
        <v>200</v>
      </c>
      <c r="H202" s="531"/>
      <c r="I202" s="478"/>
      <c r="J202" s="478"/>
      <c r="K202" s="479"/>
    </row>
    <row r="203" spans="2:11" ht="23.25">
      <c r="B203" s="409" t="s">
        <v>1212</v>
      </c>
      <c r="C203" s="42" t="s">
        <v>66</v>
      </c>
      <c r="D203" s="42" t="s">
        <v>120</v>
      </c>
      <c r="E203" s="343" t="s">
        <v>100</v>
      </c>
      <c r="F203" s="506"/>
      <c r="G203" s="507">
        <v>250</v>
      </c>
      <c r="H203" s="531"/>
      <c r="I203" s="478"/>
      <c r="J203" s="478"/>
      <c r="K203" s="479"/>
    </row>
    <row r="204" spans="2:11" ht="23.25">
      <c r="B204" s="409" t="s">
        <v>1212</v>
      </c>
      <c r="C204" s="42" t="s">
        <v>121</v>
      </c>
      <c r="D204" s="376"/>
      <c r="E204" s="343"/>
      <c r="F204" s="506"/>
      <c r="G204" s="507">
        <v>325</v>
      </c>
      <c r="H204" s="531"/>
      <c r="I204" s="478"/>
      <c r="J204" s="478"/>
      <c r="K204" s="479"/>
    </row>
    <row r="205" spans="2:11" ht="23.25">
      <c r="B205" s="409" t="s">
        <v>1212</v>
      </c>
      <c r="C205" s="42" t="s">
        <v>122</v>
      </c>
      <c r="D205" s="376"/>
      <c r="E205" s="343"/>
      <c r="F205" s="506"/>
      <c r="G205" s="507">
        <v>400</v>
      </c>
      <c r="H205" s="531"/>
      <c r="I205" s="478"/>
      <c r="J205" s="478"/>
      <c r="K205" s="479"/>
    </row>
    <row r="206" spans="2:11" ht="23.25">
      <c r="B206" s="409" t="s">
        <v>1212</v>
      </c>
      <c r="C206" s="42" t="s">
        <v>156</v>
      </c>
      <c r="D206" s="376"/>
      <c r="E206" s="343"/>
      <c r="F206" s="506"/>
      <c r="G206" s="507">
        <v>487</v>
      </c>
      <c r="H206" s="531"/>
      <c r="I206" s="478"/>
      <c r="J206" s="478"/>
      <c r="K206" s="479"/>
    </row>
    <row r="207" spans="2:11" ht="23.25">
      <c r="B207" s="409" t="s">
        <v>1212</v>
      </c>
      <c r="C207" s="42" t="s">
        <v>158</v>
      </c>
      <c r="D207" s="376"/>
      <c r="E207" s="343"/>
      <c r="F207" s="506"/>
      <c r="G207" s="507">
        <v>562</v>
      </c>
      <c r="H207" s="531"/>
      <c r="I207" s="478"/>
      <c r="J207" s="478"/>
      <c r="K207" s="479"/>
    </row>
    <row r="208" spans="2:11" ht="23.25">
      <c r="B208" s="409" t="s">
        <v>1212</v>
      </c>
      <c r="C208" s="42" t="s">
        <v>176</v>
      </c>
      <c r="D208" s="376"/>
      <c r="E208" s="343"/>
      <c r="F208" s="506"/>
      <c r="G208" s="507">
        <v>650</v>
      </c>
      <c r="H208" s="531"/>
      <c r="I208" s="478"/>
      <c r="J208" s="478"/>
      <c r="K208" s="479"/>
    </row>
    <row r="209" spans="2:11" ht="23.25">
      <c r="B209" s="409" t="s">
        <v>1212</v>
      </c>
      <c r="C209" s="42" t="s">
        <v>178</v>
      </c>
      <c r="D209" s="376"/>
      <c r="E209" s="343"/>
      <c r="F209" s="506"/>
      <c r="G209" s="507">
        <v>700</v>
      </c>
      <c r="H209" s="531"/>
      <c r="I209" s="478"/>
      <c r="J209" s="478"/>
      <c r="K209" s="479"/>
    </row>
    <row r="210" spans="2:11">
      <c r="B210" s="937" t="s">
        <v>1213</v>
      </c>
      <c r="C210" s="938"/>
      <c r="D210" s="938"/>
      <c r="E210" s="938"/>
      <c r="F210" s="938"/>
      <c r="G210" s="939"/>
      <c r="H210" s="531"/>
      <c r="I210" s="478"/>
      <c r="J210" s="478"/>
      <c r="K210" s="479"/>
    </row>
    <row r="211" spans="2:11">
      <c r="B211" s="409" t="s">
        <v>1214</v>
      </c>
      <c r="C211" s="42" t="s">
        <v>47</v>
      </c>
      <c r="D211" s="42" t="s">
        <v>99</v>
      </c>
      <c r="E211" s="343" t="s">
        <v>100</v>
      </c>
      <c r="F211" s="506"/>
      <c r="G211" s="507">
        <v>37.5</v>
      </c>
      <c r="H211" s="531"/>
      <c r="I211" s="478"/>
      <c r="J211" s="478"/>
      <c r="K211" s="479"/>
    </row>
    <row r="212" spans="2:11">
      <c r="B212" s="409" t="s">
        <v>1214</v>
      </c>
      <c r="C212" s="42" t="s">
        <v>49</v>
      </c>
      <c r="D212" s="42" t="s">
        <v>104</v>
      </c>
      <c r="E212" s="343" t="s">
        <v>100</v>
      </c>
      <c r="F212" s="506"/>
      <c r="G212" s="507">
        <v>45</v>
      </c>
      <c r="H212" s="531"/>
      <c r="I212" s="478"/>
      <c r="J212" s="478"/>
      <c r="K212" s="479"/>
    </row>
    <row r="213" spans="2:11">
      <c r="B213" s="409" t="s">
        <v>1214</v>
      </c>
      <c r="C213" s="42" t="s">
        <v>51</v>
      </c>
      <c r="D213" s="42" t="s">
        <v>105</v>
      </c>
      <c r="E213" s="343" t="s">
        <v>100</v>
      </c>
      <c r="F213" s="506"/>
      <c r="G213" s="507">
        <v>53</v>
      </c>
      <c r="H213" s="531"/>
      <c r="I213" s="478"/>
      <c r="J213" s="478"/>
      <c r="K213" s="479"/>
    </row>
    <row r="214" spans="2:11">
      <c r="B214" s="409" t="s">
        <v>1214</v>
      </c>
      <c r="C214" s="42" t="s">
        <v>53</v>
      </c>
      <c r="D214" s="42" t="s">
        <v>106</v>
      </c>
      <c r="E214" s="343" t="s">
        <v>100</v>
      </c>
      <c r="F214" s="506"/>
      <c r="G214" s="507">
        <v>75</v>
      </c>
      <c r="H214" s="531"/>
      <c r="I214" s="478"/>
      <c r="J214" s="478"/>
      <c r="K214" s="479"/>
    </row>
    <row r="215" spans="2:11">
      <c r="B215" s="409" t="s">
        <v>1214</v>
      </c>
      <c r="C215" s="42" t="s">
        <v>55</v>
      </c>
      <c r="D215" s="42" t="s">
        <v>107</v>
      </c>
      <c r="E215" s="343" t="s">
        <v>100</v>
      </c>
      <c r="F215" s="506"/>
      <c r="G215" s="507">
        <v>83</v>
      </c>
      <c r="H215" s="531"/>
      <c r="I215" s="478"/>
      <c r="J215" s="478"/>
      <c r="K215" s="479"/>
    </row>
    <row r="216" spans="2:11">
      <c r="B216" s="409" t="s">
        <v>1214</v>
      </c>
      <c r="C216" s="42" t="s">
        <v>57</v>
      </c>
      <c r="D216" s="42" t="s">
        <v>31</v>
      </c>
      <c r="E216" s="343" t="s">
        <v>100</v>
      </c>
      <c r="F216" s="506"/>
      <c r="G216" s="507">
        <v>113</v>
      </c>
      <c r="H216" s="531"/>
      <c r="I216" s="478"/>
      <c r="J216" s="478"/>
      <c r="K216" s="479"/>
    </row>
    <row r="217" spans="2:11" ht="23.25">
      <c r="B217" s="409" t="s">
        <v>1215</v>
      </c>
      <c r="C217" s="42" t="s">
        <v>59</v>
      </c>
      <c r="D217" s="42" t="s">
        <v>1041</v>
      </c>
      <c r="E217" s="343" t="s">
        <v>100</v>
      </c>
      <c r="F217" s="506"/>
      <c r="G217" s="507">
        <v>143</v>
      </c>
      <c r="H217" s="531"/>
      <c r="I217" s="478"/>
      <c r="J217" s="478"/>
      <c r="K217" s="479"/>
    </row>
    <row r="218" spans="2:11" ht="23.25">
      <c r="B218" s="409" t="s">
        <v>1215</v>
      </c>
      <c r="C218" s="42" t="s">
        <v>60</v>
      </c>
      <c r="D218" s="42" t="s">
        <v>1042</v>
      </c>
      <c r="E218" s="343" t="s">
        <v>100</v>
      </c>
      <c r="F218" s="506"/>
      <c r="G218" s="507">
        <v>225</v>
      </c>
      <c r="H218" s="531"/>
      <c r="I218" s="478"/>
      <c r="J218" s="478"/>
      <c r="K218" s="479"/>
    </row>
    <row r="219" spans="2:11" ht="23.25">
      <c r="B219" s="409" t="s">
        <v>1215</v>
      </c>
      <c r="C219" s="42" t="s">
        <v>62</v>
      </c>
      <c r="D219" s="42" t="s">
        <v>1043</v>
      </c>
      <c r="E219" s="343" t="s">
        <v>100</v>
      </c>
      <c r="F219" s="506"/>
      <c r="G219" s="507">
        <v>243</v>
      </c>
      <c r="H219" s="531"/>
      <c r="I219" s="478"/>
      <c r="J219" s="478"/>
      <c r="K219" s="479"/>
    </row>
    <row r="220" spans="2:11" ht="23.25">
      <c r="B220" s="409" t="s">
        <v>1215</v>
      </c>
      <c r="C220" s="42" t="s">
        <v>63</v>
      </c>
      <c r="D220" s="42" t="s">
        <v>64</v>
      </c>
      <c r="E220" s="343" t="s">
        <v>100</v>
      </c>
      <c r="F220" s="506"/>
      <c r="G220" s="507">
        <v>300</v>
      </c>
      <c r="H220" s="531"/>
      <c r="I220" s="478"/>
      <c r="J220" s="478"/>
      <c r="K220" s="479"/>
    </row>
    <row r="221" spans="2:11" ht="23.25">
      <c r="B221" s="409" t="s">
        <v>1215</v>
      </c>
      <c r="C221" s="42" t="s">
        <v>66</v>
      </c>
      <c r="D221" s="42" t="s">
        <v>120</v>
      </c>
      <c r="E221" s="343" t="s">
        <v>100</v>
      </c>
      <c r="F221" s="506"/>
      <c r="G221" s="507">
        <v>375</v>
      </c>
      <c r="H221" s="531"/>
      <c r="I221" s="478"/>
      <c r="J221" s="478"/>
      <c r="K221" s="479"/>
    </row>
    <row r="222" spans="2:11" ht="23.25">
      <c r="B222" s="409" t="s">
        <v>1215</v>
      </c>
      <c r="C222" s="42" t="s">
        <v>121</v>
      </c>
      <c r="D222" s="376"/>
      <c r="E222" s="343" t="s">
        <v>100</v>
      </c>
      <c r="F222" s="506"/>
      <c r="G222" s="507">
        <v>488</v>
      </c>
      <c r="H222" s="531"/>
      <c r="I222" s="478"/>
      <c r="J222" s="478"/>
      <c r="K222" s="479"/>
    </row>
    <row r="223" spans="2:11" ht="23.25">
      <c r="B223" s="409" t="s">
        <v>1215</v>
      </c>
      <c r="C223" s="42" t="s">
        <v>122</v>
      </c>
      <c r="D223" s="376"/>
      <c r="E223" s="343" t="s">
        <v>100</v>
      </c>
      <c r="F223" s="506"/>
      <c r="G223" s="507">
        <v>600</v>
      </c>
      <c r="H223" s="531"/>
      <c r="I223" s="478"/>
      <c r="J223" s="478"/>
      <c r="K223" s="479"/>
    </row>
    <row r="224" spans="2:11" ht="23.25">
      <c r="B224" s="409" t="s">
        <v>1215</v>
      </c>
      <c r="C224" s="42" t="s">
        <v>156</v>
      </c>
      <c r="D224" s="376"/>
      <c r="E224" s="343" t="s">
        <v>100</v>
      </c>
      <c r="F224" s="506"/>
      <c r="G224" s="507">
        <v>731</v>
      </c>
      <c r="H224" s="531"/>
      <c r="I224" s="478"/>
      <c r="J224" s="478"/>
      <c r="K224" s="479"/>
    </row>
    <row r="225" spans="2:11" ht="23.25">
      <c r="B225" s="409" t="s">
        <v>1215</v>
      </c>
      <c r="C225" s="42" t="s">
        <v>158</v>
      </c>
      <c r="D225" s="376"/>
      <c r="E225" s="343" t="s">
        <v>100</v>
      </c>
      <c r="F225" s="506"/>
      <c r="G225" s="507">
        <v>843</v>
      </c>
      <c r="H225" s="531"/>
      <c r="I225" s="478"/>
      <c r="J225" s="478"/>
      <c r="K225" s="479"/>
    </row>
    <row r="226" spans="2:11" ht="23.25">
      <c r="B226" s="409" t="s">
        <v>1215</v>
      </c>
      <c r="C226" s="42" t="s">
        <v>176</v>
      </c>
      <c r="D226" s="376"/>
      <c r="E226" s="343" t="s">
        <v>100</v>
      </c>
      <c r="F226" s="506"/>
      <c r="G226" s="507">
        <v>975</v>
      </c>
      <c r="H226" s="531"/>
      <c r="I226" s="478"/>
      <c r="J226" s="478"/>
      <c r="K226" s="479"/>
    </row>
    <row r="227" spans="2:11">
      <c r="B227" s="937" t="s">
        <v>1216</v>
      </c>
      <c r="C227" s="938"/>
      <c r="D227" s="938"/>
      <c r="E227" s="938"/>
      <c r="F227" s="938"/>
      <c r="G227" s="939"/>
      <c r="H227" s="531"/>
      <c r="I227" s="478"/>
      <c r="J227" s="479"/>
      <c r="K227" s="479"/>
    </row>
    <row r="228" spans="2:11">
      <c r="B228" s="409" t="s">
        <v>161</v>
      </c>
      <c r="C228" s="42" t="s">
        <v>47</v>
      </c>
      <c r="D228" s="376"/>
      <c r="E228" s="343" t="s">
        <v>100</v>
      </c>
      <c r="F228" s="506"/>
      <c r="G228" s="507">
        <v>72</v>
      </c>
      <c r="H228" s="531"/>
      <c r="I228" s="478"/>
      <c r="J228" s="478"/>
      <c r="K228" s="479"/>
    </row>
    <row r="229" spans="2:11">
      <c r="B229" s="409" t="s">
        <v>161</v>
      </c>
      <c r="C229" s="42" t="s">
        <v>49</v>
      </c>
      <c r="D229" s="376"/>
      <c r="E229" s="343" t="s">
        <v>100</v>
      </c>
      <c r="F229" s="506"/>
      <c r="G229" s="507">
        <v>81</v>
      </c>
      <c r="H229" s="531"/>
      <c r="I229" s="478"/>
      <c r="J229" s="478"/>
      <c r="K229" s="479"/>
    </row>
    <row r="230" spans="2:11">
      <c r="B230" s="409" t="s">
        <v>161</v>
      </c>
      <c r="C230" s="42" t="s">
        <v>51</v>
      </c>
      <c r="D230" s="376"/>
      <c r="E230" s="343" t="s">
        <v>100</v>
      </c>
      <c r="F230" s="506"/>
      <c r="G230" s="507">
        <v>87</v>
      </c>
      <c r="H230" s="531"/>
      <c r="I230" s="478"/>
      <c r="J230" s="478"/>
      <c r="K230" s="479"/>
    </row>
    <row r="231" spans="2:11">
      <c r="B231" s="409" t="s">
        <v>161</v>
      </c>
      <c r="C231" s="42" t="s">
        <v>53</v>
      </c>
      <c r="D231" s="376"/>
      <c r="E231" s="343" t="s">
        <v>100</v>
      </c>
      <c r="F231" s="506"/>
      <c r="G231" s="507">
        <v>100</v>
      </c>
      <c r="H231" s="531"/>
      <c r="I231" s="478"/>
      <c r="J231" s="478"/>
      <c r="K231" s="479"/>
    </row>
    <row r="232" spans="2:11">
      <c r="B232" s="409" t="s">
        <v>161</v>
      </c>
      <c r="C232" s="42" t="s">
        <v>55</v>
      </c>
      <c r="D232" s="376"/>
      <c r="E232" s="343" t="s">
        <v>100</v>
      </c>
      <c r="F232" s="506"/>
      <c r="G232" s="507">
        <v>112</v>
      </c>
      <c r="H232" s="531"/>
      <c r="I232" s="478"/>
      <c r="J232" s="478"/>
      <c r="K232" s="479"/>
    </row>
    <row r="233" spans="2:11">
      <c r="B233" s="409" t="s">
        <v>161</v>
      </c>
      <c r="C233" s="42" t="s">
        <v>57</v>
      </c>
      <c r="D233" s="376"/>
      <c r="E233" s="343" t="s">
        <v>100</v>
      </c>
      <c r="F233" s="506"/>
      <c r="G233" s="507">
        <v>125</v>
      </c>
      <c r="H233" s="531"/>
      <c r="I233" s="478"/>
      <c r="J233" s="478"/>
      <c r="K233" s="479"/>
    </row>
    <row r="234" spans="2:11">
      <c r="B234" s="409" t="s">
        <v>161</v>
      </c>
      <c r="C234" s="42" t="s">
        <v>59</v>
      </c>
      <c r="D234" s="376"/>
      <c r="E234" s="343" t="s">
        <v>100</v>
      </c>
      <c r="F234" s="506"/>
      <c r="G234" s="507">
        <v>156</v>
      </c>
      <c r="H234" s="531"/>
      <c r="I234" s="478"/>
      <c r="J234" s="478"/>
      <c r="K234" s="479"/>
    </row>
    <row r="235" spans="2:11">
      <c r="B235" s="409" t="s">
        <v>161</v>
      </c>
      <c r="C235" s="42" t="s">
        <v>60</v>
      </c>
      <c r="D235" s="376"/>
      <c r="E235" s="343" t="s">
        <v>100</v>
      </c>
      <c r="F235" s="506"/>
      <c r="G235" s="507">
        <v>156</v>
      </c>
      <c r="H235" s="531"/>
      <c r="I235" s="478"/>
      <c r="J235" s="478"/>
      <c r="K235" s="479"/>
    </row>
    <row r="236" spans="2:11">
      <c r="B236" s="409" t="s">
        <v>161</v>
      </c>
      <c r="C236" s="42" t="s">
        <v>62</v>
      </c>
      <c r="D236" s="376"/>
      <c r="E236" s="343" t="s">
        <v>100</v>
      </c>
      <c r="F236" s="506"/>
      <c r="G236" s="507">
        <v>180</v>
      </c>
      <c r="H236" s="531"/>
      <c r="I236" s="478"/>
      <c r="J236" s="478"/>
      <c r="K236" s="479"/>
    </row>
    <row r="237" spans="2:11">
      <c r="B237" s="409" t="s">
        <v>161</v>
      </c>
      <c r="C237" s="42" t="s">
        <v>63</v>
      </c>
      <c r="D237" s="376"/>
      <c r="E237" s="343" t="s">
        <v>100</v>
      </c>
      <c r="F237" s="506"/>
      <c r="G237" s="507">
        <v>250</v>
      </c>
      <c r="H237" s="531"/>
      <c r="I237" s="478"/>
      <c r="J237" s="478"/>
      <c r="K237" s="479"/>
    </row>
    <row r="238" spans="2:11">
      <c r="B238" s="409" t="s">
        <v>161</v>
      </c>
      <c r="C238" s="42" t="s">
        <v>66</v>
      </c>
      <c r="D238" s="376"/>
      <c r="E238" s="343" t="s">
        <v>100</v>
      </c>
      <c r="F238" s="506"/>
      <c r="G238" s="507">
        <v>287</v>
      </c>
      <c r="H238" s="531"/>
      <c r="I238" s="478"/>
      <c r="J238" s="478"/>
      <c r="K238" s="479"/>
    </row>
    <row r="239" spans="2:11">
      <c r="B239" s="409" t="s">
        <v>161</v>
      </c>
      <c r="C239" s="42" t="s">
        <v>121</v>
      </c>
      <c r="D239" s="376"/>
      <c r="E239" s="343" t="s">
        <v>100</v>
      </c>
      <c r="F239" s="506"/>
      <c r="G239" s="507">
        <v>375</v>
      </c>
      <c r="H239" s="531"/>
      <c r="I239" s="478"/>
      <c r="J239" s="478"/>
      <c r="K239" s="479"/>
    </row>
    <row r="240" spans="2:11">
      <c r="B240" s="409" t="s">
        <v>161</v>
      </c>
      <c r="C240" s="42" t="s">
        <v>122</v>
      </c>
      <c r="D240" s="376"/>
      <c r="E240" s="343" t="s">
        <v>100</v>
      </c>
      <c r="F240" s="506"/>
      <c r="G240" s="507">
        <v>450</v>
      </c>
      <c r="H240" s="531"/>
      <c r="I240" s="478"/>
      <c r="J240" s="478"/>
      <c r="K240" s="479"/>
    </row>
    <row r="241" spans="2:11">
      <c r="B241" s="409" t="s">
        <v>166</v>
      </c>
      <c r="C241" s="376"/>
      <c r="D241" s="376"/>
      <c r="E241" s="343" t="s">
        <v>100</v>
      </c>
      <c r="F241" s="506"/>
      <c r="G241" s="507">
        <v>50</v>
      </c>
      <c r="H241" s="531"/>
      <c r="I241" s="478"/>
      <c r="J241" s="478"/>
      <c r="K241" s="479"/>
    </row>
    <row r="242" spans="2:11">
      <c r="B242" s="937" t="s">
        <v>1217</v>
      </c>
      <c r="C242" s="938"/>
      <c r="D242" s="938"/>
      <c r="E242" s="938"/>
      <c r="F242" s="938"/>
      <c r="G242" s="939"/>
      <c r="H242" s="531"/>
      <c r="I242" s="478"/>
      <c r="J242" s="479"/>
      <c r="K242" s="479"/>
    </row>
    <row r="243" spans="2:11">
      <c r="B243" s="409" t="s">
        <v>162</v>
      </c>
      <c r="C243" s="42" t="s">
        <v>47</v>
      </c>
      <c r="D243" s="376"/>
      <c r="E243" s="343" t="s">
        <v>100</v>
      </c>
      <c r="F243" s="506"/>
      <c r="G243" s="506">
        <v>125</v>
      </c>
      <c r="H243" s="531"/>
      <c r="I243" s="478"/>
      <c r="J243" s="478"/>
      <c r="K243" s="479"/>
    </row>
    <row r="244" spans="2:11">
      <c r="B244" s="409" t="s">
        <v>162</v>
      </c>
      <c r="C244" s="42" t="s">
        <v>49</v>
      </c>
      <c r="D244" s="376"/>
      <c r="E244" s="343" t="s">
        <v>100</v>
      </c>
      <c r="F244" s="506"/>
      <c r="G244" s="506">
        <v>125</v>
      </c>
      <c r="H244" s="531"/>
      <c r="I244" s="478"/>
      <c r="J244" s="478"/>
      <c r="K244" s="479"/>
    </row>
    <row r="245" spans="2:11">
      <c r="B245" s="409" t="s">
        <v>162</v>
      </c>
      <c r="C245" s="42" t="s">
        <v>51</v>
      </c>
      <c r="D245" s="376"/>
      <c r="E245" s="343" t="s">
        <v>100</v>
      </c>
      <c r="F245" s="506"/>
      <c r="G245" s="506">
        <v>160</v>
      </c>
      <c r="H245" s="531"/>
      <c r="I245" s="478"/>
      <c r="J245" s="478"/>
      <c r="K245" s="479"/>
    </row>
    <row r="246" spans="2:11">
      <c r="B246" s="409" t="s">
        <v>162</v>
      </c>
      <c r="C246" s="42" t="s">
        <v>53</v>
      </c>
      <c r="D246" s="376"/>
      <c r="E246" s="343" t="s">
        <v>100</v>
      </c>
      <c r="F246" s="506"/>
      <c r="G246" s="506">
        <v>160</v>
      </c>
      <c r="H246" s="531"/>
      <c r="I246" s="478"/>
      <c r="J246" s="478"/>
      <c r="K246" s="479"/>
    </row>
    <row r="247" spans="2:11">
      <c r="B247" s="409" t="s">
        <v>162</v>
      </c>
      <c r="C247" s="42" t="s">
        <v>55</v>
      </c>
      <c r="D247" s="376"/>
      <c r="E247" s="343" t="s">
        <v>100</v>
      </c>
      <c r="F247" s="506"/>
      <c r="G247" s="506">
        <v>160</v>
      </c>
      <c r="H247" s="531"/>
      <c r="I247" s="478"/>
      <c r="J247" s="478"/>
      <c r="K247" s="479"/>
    </row>
    <row r="248" spans="2:11">
      <c r="B248" s="409" t="s">
        <v>162</v>
      </c>
      <c r="C248" s="42" t="s">
        <v>57</v>
      </c>
      <c r="D248" s="376"/>
      <c r="E248" s="343" t="s">
        <v>100</v>
      </c>
      <c r="F248" s="506"/>
      <c r="G248" s="506">
        <v>200</v>
      </c>
      <c r="H248" s="531"/>
      <c r="I248" s="478"/>
      <c r="J248" s="478"/>
      <c r="K248" s="479"/>
    </row>
    <row r="249" spans="2:11">
      <c r="B249" s="409" t="s">
        <v>162</v>
      </c>
      <c r="C249" s="42" t="s">
        <v>59</v>
      </c>
      <c r="D249" s="376"/>
      <c r="E249" s="343" t="s">
        <v>100</v>
      </c>
      <c r="F249" s="506"/>
      <c r="G249" s="506">
        <v>300</v>
      </c>
      <c r="H249" s="531"/>
      <c r="I249" s="478"/>
      <c r="J249" s="478"/>
      <c r="K249" s="479"/>
    </row>
    <row r="250" spans="2:11">
      <c r="B250" s="409" t="s">
        <v>162</v>
      </c>
      <c r="C250" s="42" t="s">
        <v>60</v>
      </c>
      <c r="D250" s="376"/>
      <c r="E250" s="343" t="s">
        <v>100</v>
      </c>
      <c r="F250" s="506"/>
      <c r="G250" s="506">
        <v>300</v>
      </c>
      <c r="H250" s="531"/>
      <c r="I250" s="478"/>
      <c r="J250" s="478"/>
      <c r="K250" s="479"/>
    </row>
    <row r="251" spans="2:11">
      <c r="B251" s="409" t="s">
        <v>162</v>
      </c>
      <c r="C251" s="42" t="s">
        <v>62</v>
      </c>
      <c r="D251" s="376"/>
      <c r="E251" s="343" t="s">
        <v>100</v>
      </c>
      <c r="F251" s="506"/>
      <c r="G251" s="506">
        <v>360</v>
      </c>
      <c r="H251" s="531"/>
      <c r="I251" s="478"/>
      <c r="J251" s="478"/>
      <c r="K251" s="479"/>
    </row>
    <row r="252" spans="2:11">
      <c r="B252" s="409" t="s">
        <v>162</v>
      </c>
      <c r="C252" s="42" t="s">
        <v>63</v>
      </c>
      <c r="D252" s="376"/>
      <c r="E252" s="343" t="s">
        <v>100</v>
      </c>
      <c r="F252" s="506"/>
      <c r="G252" s="506">
        <v>450</v>
      </c>
      <c r="H252" s="531"/>
      <c r="I252" s="478"/>
      <c r="J252" s="478"/>
      <c r="K252" s="479"/>
    </row>
    <row r="253" spans="2:11">
      <c r="B253" s="409" t="s">
        <v>162</v>
      </c>
      <c r="C253" s="42" t="s">
        <v>66</v>
      </c>
      <c r="D253" s="376"/>
      <c r="E253" s="343" t="s">
        <v>100</v>
      </c>
      <c r="F253" s="506"/>
      <c r="G253" s="506">
        <v>560</v>
      </c>
      <c r="H253" s="531"/>
      <c r="I253" s="478"/>
      <c r="J253" s="478"/>
      <c r="K253" s="479"/>
    </row>
    <row r="254" spans="2:11">
      <c r="B254" s="409" t="s">
        <v>162</v>
      </c>
      <c r="C254" s="42" t="s">
        <v>121</v>
      </c>
      <c r="D254" s="376"/>
      <c r="E254" s="343" t="s">
        <v>100</v>
      </c>
      <c r="F254" s="506"/>
      <c r="G254" s="506">
        <v>650</v>
      </c>
      <c r="H254" s="531"/>
      <c r="I254" s="478"/>
      <c r="J254" s="478"/>
      <c r="K254" s="479"/>
    </row>
    <row r="255" spans="2:11">
      <c r="B255" s="409" t="s">
        <v>162</v>
      </c>
      <c r="C255" s="42" t="s">
        <v>122</v>
      </c>
      <c r="D255" s="376"/>
      <c r="E255" s="343" t="s">
        <v>100</v>
      </c>
      <c r="F255" s="506"/>
      <c r="G255" s="506">
        <v>700</v>
      </c>
      <c r="H255" s="531"/>
      <c r="I255" s="478"/>
      <c r="J255" s="478"/>
      <c r="K255" s="479"/>
    </row>
    <row r="256" spans="2:11">
      <c r="B256" s="409" t="s">
        <v>166</v>
      </c>
      <c r="C256" s="376"/>
      <c r="D256" s="376"/>
      <c r="E256" s="343" t="s">
        <v>100</v>
      </c>
      <c r="F256" s="506"/>
      <c r="G256" s="507">
        <v>50</v>
      </c>
      <c r="H256" s="531"/>
      <c r="I256" s="478"/>
      <c r="J256" s="478"/>
      <c r="K256" s="479"/>
    </row>
    <row r="257" spans="2:11">
      <c r="B257" s="934" t="s">
        <v>1218</v>
      </c>
      <c r="C257" s="935"/>
      <c r="D257" s="935"/>
      <c r="E257" s="935"/>
      <c r="F257" s="935"/>
      <c r="G257" s="936"/>
      <c r="H257" s="531">
        <f>G257*1.25</f>
        <v>0</v>
      </c>
      <c r="I257" s="478"/>
      <c r="J257" s="478"/>
      <c r="K257" s="479"/>
    </row>
    <row r="258" spans="2:11">
      <c r="B258" s="409" t="s">
        <v>398</v>
      </c>
      <c r="C258" s="376" t="s">
        <v>53</v>
      </c>
      <c r="D258" s="376"/>
      <c r="E258" s="343" t="s">
        <v>19</v>
      </c>
      <c r="F258" s="506"/>
      <c r="G258" s="506">
        <v>112</v>
      </c>
      <c r="H258" s="531"/>
      <c r="I258" s="478"/>
      <c r="J258" s="478"/>
      <c r="K258" s="479"/>
    </row>
    <row r="259" spans="2:11">
      <c r="B259" s="409" t="s">
        <v>398</v>
      </c>
      <c r="C259" s="376" t="s">
        <v>55</v>
      </c>
      <c r="D259" s="376"/>
      <c r="E259" s="343" t="s">
        <v>19</v>
      </c>
      <c r="F259" s="506"/>
      <c r="G259" s="506">
        <v>112</v>
      </c>
      <c r="H259" s="531"/>
      <c r="I259" s="478"/>
      <c r="J259" s="478"/>
      <c r="K259" s="479"/>
    </row>
    <row r="260" spans="2:11">
      <c r="B260" s="409" t="s">
        <v>398</v>
      </c>
      <c r="C260" s="376" t="s">
        <v>57</v>
      </c>
      <c r="D260" s="376"/>
      <c r="E260" s="343" t="s">
        <v>19</v>
      </c>
      <c r="F260" s="506"/>
      <c r="G260" s="506">
        <v>112</v>
      </c>
      <c r="H260" s="531"/>
      <c r="I260" s="478"/>
      <c r="J260" s="478"/>
      <c r="K260" s="479"/>
    </row>
    <row r="261" spans="2:11">
      <c r="B261" s="409" t="s">
        <v>398</v>
      </c>
      <c r="C261" s="376" t="s">
        <v>59</v>
      </c>
      <c r="D261" s="376"/>
      <c r="E261" s="343" t="s">
        <v>19</v>
      </c>
      <c r="F261" s="506"/>
      <c r="G261" s="506">
        <v>162</v>
      </c>
      <c r="H261" s="531"/>
      <c r="I261" s="478"/>
      <c r="J261" s="478"/>
      <c r="K261" s="479"/>
    </row>
    <row r="262" spans="2:11">
      <c r="B262" s="409" t="s">
        <v>398</v>
      </c>
      <c r="C262" s="376" t="s">
        <v>60</v>
      </c>
      <c r="D262" s="376"/>
      <c r="E262" s="343" t="s">
        <v>19</v>
      </c>
      <c r="F262" s="506"/>
      <c r="G262" s="506">
        <v>162</v>
      </c>
      <c r="H262" s="531"/>
      <c r="I262" s="478"/>
      <c r="J262" s="478"/>
      <c r="K262" s="479"/>
    </row>
    <row r="263" spans="2:11">
      <c r="B263" s="409" t="s">
        <v>398</v>
      </c>
      <c r="C263" s="376" t="s">
        <v>62</v>
      </c>
      <c r="D263" s="376"/>
      <c r="E263" s="343" t="s">
        <v>19</v>
      </c>
      <c r="F263" s="506"/>
      <c r="G263" s="506">
        <v>162</v>
      </c>
      <c r="H263" s="531"/>
      <c r="I263" s="478"/>
      <c r="J263" s="478"/>
      <c r="K263" s="479"/>
    </row>
    <row r="264" spans="2:11">
      <c r="B264" s="409" t="s">
        <v>398</v>
      </c>
      <c r="C264" s="376" t="s">
        <v>66</v>
      </c>
      <c r="D264" s="376"/>
      <c r="E264" s="343" t="s">
        <v>19</v>
      </c>
      <c r="F264" s="506"/>
      <c r="G264" s="506">
        <v>325</v>
      </c>
      <c r="H264" s="531"/>
      <c r="I264" s="478"/>
      <c r="J264" s="478"/>
      <c r="K264" s="479"/>
    </row>
    <row r="265" spans="2:11">
      <c r="B265" s="409" t="s">
        <v>398</v>
      </c>
      <c r="C265" s="376" t="s">
        <v>121</v>
      </c>
      <c r="D265" s="376"/>
      <c r="E265" s="343" t="s">
        <v>19</v>
      </c>
      <c r="F265" s="506"/>
      <c r="G265" s="506">
        <v>325</v>
      </c>
      <c r="H265" s="531"/>
      <c r="I265" s="478"/>
      <c r="J265" s="478"/>
      <c r="K265" s="479"/>
    </row>
    <row r="266" spans="2:11">
      <c r="B266" s="409" t="s">
        <v>398</v>
      </c>
      <c r="C266" s="376" t="s">
        <v>122</v>
      </c>
      <c r="D266" s="376"/>
      <c r="E266" s="343" t="s">
        <v>19</v>
      </c>
      <c r="F266" s="506"/>
      <c r="G266" s="506">
        <v>400</v>
      </c>
      <c r="H266" s="531"/>
      <c r="I266" s="478"/>
      <c r="J266" s="478"/>
      <c r="K266" s="479"/>
    </row>
    <row r="267" spans="2:11">
      <c r="B267" s="409" t="s">
        <v>398</v>
      </c>
      <c r="C267" s="376" t="s">
        <v>156</v>
      </c>
      <c r="D267" s="376"/>
      <c r="E267" s="343" t="s">
        <v>19</v>
      </c>
      <c r="F267" s="506"/>
      <c r="G267" s="507">
        <v>487</v>
      </c>
      <c r="H267" s="531"/>
      <c r="I267" s="478"/>
      <c r="J267" s="478"/>
      <c r="K267" s="479"/>
    </row>
    <row r="268" spans="2:11">
      <c r="B268" s="409" t="s">
        <v>398</v>
      </c>
      <c r="C268" s="376" t="s">
        <v>158</v>
      </c>
      <c r="D268" s="376"/>
      <c r="E268" s="343" t="s">
        <v>19</v>
      </c>
      <c r="F268" s="506"/>
      <c r="G268" s="507">
        <v>562</v>
      </c>
      <c r="H268" s="531"/>
      <c r="I268" s="478"/>
      <c r="J268" s="478"/>
      <c r="K268" s="479"/>
    </row>
    <row r="269" spans="2:11">
      <c r="B269" s="409" t="s">
        <v>398</v>
      </c>
      <c r="C269" s="376" t="s">
        <v>399</v>
      </c>
      <c r="D269" s="376"/>
      <c r="E269" s="343" t="s">
        <v>19</v>
      </c>
      <c r="F269" s="506"/>
      <c r="G269" s="507">
        <v>650</v>
      </c>
      <c r="H269" s="531"/>
      <c r="I269" s="478"/>
      <c r="J269" s="478"/>
      <c r="K269" s="479"/>
    </row>
    <row r="270" spans="2:11">
      <c r="B270" s="495" t="s">
        <v>398</v>
      </c>
      <c r="C270" s="376" t="s">
        <v>178</v>
      </c>
      <c r="D270" s="376"/>
      <c r="E270" s="343" t="s">
        <v>19</v>
      </c>
      <c r="F270" s="506"/>
      <c r="G270" s="507">
        <v>813</v>
      </c>
      <c r="H270" s="531"/>
      <c r="I270" s="478"/>
      <c r="J270" s="478"/>
      <c r="K270" s="479"/>
    </row>
    <row r="271" spans="2:11">
      <c r="B271" s="934" t="s">
        <v>1219</v>
      </c>
      <c r="C271" s="935"/>
      <c r="D271" s="935"/>
      <c r="E271" s="935"/>
      <c r="F271" s="935"/>
      <c r="G271" s="936"/>
      <c r="H271" s="531"/>
      <c r="I271" s="478"/>
      <c r="J271" s="478"/>
      <c r="K271" s="479"/>
    </row>
    <row r="272" spans="2:11">
      <c r="B272" s="496" t="s">
        <v>451</v>
      </c>
      <c r="C272" s="376" t="s">
        <v>1126</v>
      </c>
      <c r="D272" s="376"/>
      <c r="E272" s="343" t="s">
        <v>512</v>
      </c>
      <c r="F272" s="506"/>
      <c r="G272" s="536">
        <v>500</v>
      </c>
      <c r="H272" s="531"/>
      <c r="I272" s="478"/>
      <c r="J272" s="478"/>
      <c r="K272" s="479"/>
    </row>
    <row r="273" spans="2:11">
      <c r="B273" s="496" t="s">
        <v>451</v>
      </c>
      <c r="C273" s="376" t="s">
        <v>1220</v>
      </c>
      <c r="D273" s="376"/>
      <c r="E273" s="343" t="s">
        <v>512</v>
      </c>
      <c r="F273" s="506"/>
      <c r="G273" s="536">
        <v>650</v>
      </c>
      <c r="H273" s="531"/>
      <c r="I273" s="478"/>
      <c r="J273" s="478"/>
      <c r="K273" s="479"/>
    </row>
    <row r="274" spans="2:11">
      <c r="B274" s="496" t="s">
        <v>451</v>
      </c>
      <c r="C274" s="376" t="s">
        <v>1221</v>
      </c>
      <c r="D274" s="376"/>
      <c r="E274" s="343" t="s">
        <v>512</v>
      </c>
      <c r="F274" s="506"/>
      <c r="G274" s="536">
        <v>800</v>
      </c>
      <c r="H274" s="531"/>
      <c r="I274" s="478"/>
      <c r="J274" s="478"/>
      <c r="K274" s="479"/>
    </row>
    <row r="275" spans="2:11">
      <c r="B275" s="496" t="s">
        <v>1222</v>
      </c>
      <c r="C275" s="409"/>
      <c r="D275" s="376"/>
      <c r="E275" s="343" t="s">
        <v>100</v>
      </c>
      <c r="F275" s="507"/>
      <c r="G275" s="537">
        <v>800</v>
      </c>
      <c r="H275" s="531"/>
      <c r="I275" s="478"/>
      <c r="J275" s="478"/>
      <c r="K275" s="479"/>
    </row>
    <row r="276" spans="2:11">
      <c r="B276" s="934" t="s">
        <v>1223</v>
      </c>
      <c r="C276" s="935"/>
      <c r="D276" s="935"/>
      <c r="E276" s="935"/>
      <c r="F276" s="935"/>
      <c r="G276" s="936"/>
      <c r="H276" s="531">
        <f>G276*1.25</f>
        <v>0</v>
      </c>
      <c r="I276" s="478"/>
      <c r="J276" s="478"/>
      <c r="K276" s="479"/>
    </row>
    <row r="277" spans="2:11">
      <c r="B277" s="496" t="s">
        <v>456</v>
      </c>
      <c r="C277" s="376" t="s">
        <v>1224</v>
      </c>
      <c r="D277" s="376"/>
      <c r="E277" s="343" t="s">
        <v>100</v>
      </c>
      <c r="F277" s="506"/>
      <c r="G277" s="536">
        <v>300</v>
      </c>
      <c r="H277" s="531"/>
      <c r="I277" s="478"/>
      <c r="J277" s="478"/>
      <c r="K277" s="479"/>
    </row>
    <row r="278" spans="2:11">
      <c r="B278" s="496" t="s">
        <v>456</v>
      </c>
      <c r="C278" s="376" t="s">
        <v>1225</v>
      </c>
      <c r="D278" s="376"/>
      <c r="E278" s="343" t="s">
        <v>100</v>
      </c>
      <c r="F278" s="506"/>
      <c r="G278" s="536">
        <v>650</v>
      </c>
      <c r="H278" s="531"/>
      <c r="I278" s="478"/>
      <c r="J278" s="478"/>
      <c r="K278" s="479"/>
    </row>
    <row r="279" spans="2:11">
      <c r="B279" s="496" t="s">
        <v>456</v>
      </c>
      <c r="C279" s="376" t="s">
        <v>1226</v>
      </c>
      <c r="D279" s="376"/>
      <c r="E279" s="343" t="s">
        <v>100</v>
      </c>
      <c r="F279" s="506"/>
      <c r="G279" s="536">
        <v>1400</v>
      </c>
      <c r="H279" s="531"/>
      <c r="I279" s="478"/>
      <c r="J279" s="478"/>
      <c r="K279" s="479"/>
    </row>
    <row r="280" spans="2:11">
      <c r="B280" s="496" t="s">
        <v>460</v>
      </c>
      <c r="C280" s="376"/>
      <c r="D280" s="376"/>
      <c r="E280" s="343" t="s">
        <v>512</v>
      </c>
      <c r="F280" s="506"/>
      <c r="G280" s="536">
        <v>2500</v>
      </c>
      <c r="H280" s="531"/>
      <c r="I280" s="478"/>
      <c r="J280" s="478"/>
      <c r="K280" s="479"/>
    </row>
    <row r="281" spans="2:11">
      <c r="B281" s="496" t="s">
        <v>1227</v>
      </c>
      <c r="C281" s="376" t="s">
        <v>1228</v>
      </c>
      <c r="D281" s="376"/>
      <c r="E281" s="343" t="s">
        <v>547</v>
      </c>
      <c r="F281" s="506"/>
      <c r="G281" s="536">
        <v>1000</v>
      </c>
      <c r="H281" s="531"/>
      <c r="I281" s="478"/>
      <c r="J281" s="478"/>
      <c r="K281" s="479"/>
    </row>
    <row r="282" spans="2:11">
      <c r="B282" s="496" t="s">
        <v>1227</v>
      </c>
      <c r="C282" s="376" t="s">
        <v>1225</v>
      </c>
      <c r="D282" s="376"/>
      <c r="E282" s="343" t="s">
        <v>547</v>
      </c>
      <c r="F282" s="506"/>
      <c r="G282" s="536">
        <v>1400</v>
      </c>
      <c r="H282" s="531"/>
      <c r="I282" s="478"/>
      <c r="J282" s="478"/>
      <c r="K282" s="479"/>
    </row>
    <row r="283" spans="2:11">
      <c r="B283" s="496" t="s">
        <v>1227</v>
      </c>
      <c r="C283" s="376" t="s">
        <v>1229</v>
      </c>
      <c r="D283" s="376"/>
      <c r="E283" s="343" t="s">
        <v>547</v>
      </c>
      <c r="F283" s="506"/>
      <c r="G283" s="536">
        <v>2000</v>
      </c>
      <c r="H283" s="531"/>
      <c r="I283" s="478"/>
      <c r="J283" s="478"/>
      <c r="K283" s="479"/>
    </row>
    <row r="284" spans="2:11">
      <c r="B284" s="496" t="s">
        <v>1227</v>
      </c>
      <c r="C284" s="376" t="s">
        <v>1230</v>
      </c>
      <c r="D284" s="376"/>
      <c r="E284" s="343" t="s">
        <v>547</v>
      </c>
      <c r="F284" s="506"/>
      <c r="G284" s="536">
        <v>3500</v>
      </c>
      <c r="H284" s="531"/>
      <c r="I284" s="478"/>
      <c r="J284" s="478"/>
      <c r="K284" s="479"/>
    </row>
    <row r="285" spans="2:11">
      <c r="B285" s="496" t="s">
        <v>467</v>
      </c>
      <c r="C285" s="376" t="s">
        <v>1231</v>
      </c>
      <c r="D285" s="376"/>
      <c r="E285" s="343" t="s">
        <v>100</v>
      </c>
      <c r="F285" s="506" t="s">
        <v>1232</v>
      </c>
      <c r="G285" s="536">
        <v>200</v>
      </c>
      <c r="H285" s="531"/>
      <c r="I285" s="478"/>
      <c r="J285" s="478"/>
      <c r="K285" s="479"/>
    </row>
    <row r="286" spans="2:11">
      <c r="B286" s="934" t="s">
        <v>1233</v>
      </c>
      <c r="C286" s="935"/>
      <c r="D286" s="935"/>
      <c r="E286" s="935"/>
      <c r="F286" s="935"/>
      <c r="G286" s="936"/>
      <c r="H286" s="531">
        <f>G286*1.25</f>
        <v>0</v>
      </c>
      <c r="I286" s="478"/>
      <c r="J286" s="478"/>
      <c r="K286" s="479"/>
    </row>
    <row r="287" spans="2:11">
      <c r="B287" s="496" t="s">
        <v>475</v>
      </c>
      <c r="C287" s="376"/>
      <c r="D287" s="376"/>
      <c r="E287" s="343" t="s">
        <v>100</v>
      </c>
      <c r="F287" s="506">
        <v>180</v>
      </c>
      <c r="G287" s="536">
        <v>65</v>
      </c>
      <c r="H287" s="531"/>
      <c r="I287" s="478"/>
      <c r="J287" s="478"/>
      <c r="K287" s="479"/>
    </row>
    <row r="288" spans="2:11">
      <c r="B288" s="496" t="s">
        <v>476</v>
      </c>
      <c r="C288" s="376"/>
      <c r="D288" s="376"/>
      <c r="E288" s="343" t="s">
        <v>100</v>
      </c>
      <c r="F288" s="506">
        <v>85</v>
      </c>
      <c r="G288" s="536">
        <v>48</v>
      </c>
      <c r="H288" s="531"/>
      <c r="I288" s="478"/>
      <c r="J288" s="478"/>
      <c r="K288" s="479"/>
    </row>
    <row r="289" spans="2:11">
      <c r="B289" s="496" t="s">
        <v>478</v>
      </c>
      <c r="C289" s="376"/>
      <c r="D289" s="376"/>
      <c r="E289" s="343" t="s">
        <v>100</v>
      </c>
      <c r="F289" s="506">
        <v>35</v>
      </c>
      <c r="G289" s="536">
        <v>25</v>
      </c>
      <c r="H289" s="531"/>
      <c r="I289" s="478"/>
      <c r="J289" s="478"/>
      <c r="K289" s="479"/>
    </row>
    <row r="290" spans="2:11">
      <c r="B290" s="496" t="s">
        <v>480</v>
      </c>
      <c r="C290" s="376"/>
      <c r="D290" s="376"/>
      <c r="E290" s="343" t="s">
        <v>100</v>
      </c>
      <c r="F290" s="506">
        <v>35</v>
      </c>
      <c r="G290" s="536">
        <v>25</v>
      </c>
      <c r="H290" s="531"/>
      <c r="I290" s="478"/>
      <c r="J290" s="478"/>
      <c r="K290" s="479"/>
    </row>
    <row r="291" spans="2:11">
      <c r="B291" s="496" t="s">
        <v>481</v>
      </c>
      <c r="C291" s="376"/>
      <c r="D291" s="376"/>
      <c r="E291" s="343" t="s">
        <v>100</v>
      </c>
      <c r="F291" s="506"/>
      <c r="G291" s="536">
        <v>200</v>
      </c>
      <c r="H291" s="531"/>
      <c r="I291" s="478"/>
      <c r="J291" s="478"/>
      <c r="K291" s="479"/>
    </row>
    <row r="292" spans="2:11">
      <c r="B292" s="496" t="s">
        <v>482</v>
      </c>
      <c r="C292" s="376"/>
      <c r="D292" s="376"/>
      <c r="E292" s="343" t="s">
        <v>100</v>
      </c>
      <c r="F292" s="506"/>
      <c r="G292" s="536">
        <v>200</v>
      </c>
      <c r="H292" s="531"/>
      <c r="I292" s="478"/>
      <c r="J292" s="478"/>
      <c r="K292" s="479"/>
    </row>
    <row r="293" spans="2:11">
      <c r="B293" s="934" t="s">
        <v>1234</v>
      </c>
      <c r="C293" s="935"/>
      <c r="D293" s="935"/>
      <c r="E293" s="935"/>
      <c r="F293" s="935"/>
      <c r="G293" s="936"/>
      <c r="H293" s="531">
        <f>G293*1.25</f>
        <v>0</v>
      </c>
      <c r="I293" s="478"/>
      <c r="J293" s="478"/>
      <c r="K293" s="479"/>
    </row>
    <row r="294" spans="2:11">
      <c r="B294" s="496" t="s">
        <v>484</v>
      </c>
      <c r="C294" s="376" t="s">
        <v>1235</v>
      </c>
      <c r="D294" s="376"/>
      <c r="E294" s="343" t="s">
        <v>100</v>
      </c>
      <c r="F294" s="506"/>
      <c r="G294" s="536">
        <v>250</v>
      </c>
      <c r="H294" s="531"/>
      <c r="I294" s="478"/>
      <c r="J294" s="478"/>
      <c r="K294" s="479"/>
    </row>
    <row r="295" spans="2:11">
      <c r="B295" s="496" t="s">
        <v>484</v>
      </c>
      <c r="C295" s="376" t="s">
        <v>1236</v>
      </c>
      <c r="D295" s="376"/>
      <c r="E295" s="343" t="s">
        <v>100</v>
      </c>
      <c r="F295" s="506"/>
      <c r="G295" s="536">
        <v>280</v>
      </c>
      <c r="H295" s="531"/>
      <c r="I295" s="478"/>
      <c r="J295" s="478"/>
      <c r="K295" s="479"/>
    </row>
    <row r="296" spans="2:11">
      <c r="B296" s="496" t="s">
        <v>484</v>
      </c>
      <c r="C296" s="376" t="s">
        <v>1237</v>
      </c>
      <c r="D296" s="376"/>
      <c r="E296" s="343" t="s">
        <v>100</v>
      </c>
      <c r="F296" s="506"/>
      <c r="G296" s="536">
        <v>380</v>
      </c>
      <c r="H296" s="531"/>
      <c r="I296" s="478"/>
      <c r="J296" s="478"/>
      <c r="K296" s="479"/>
    </row>
    <row r="297" spans="2:11">
      <c r="B297" s="934" t="s">
        <v>1238</v>
      </c>
      <c r="C297" s="935"/>
      <c r="D297" s="935"/>
      <c r="E297" s="935"/>
      <c r="F297" s="935"/>
      <c r="G297" s="936"/>
      <c r="H297" s="531">
        <f>G297*1.25</f>
        <v>0</v>
      </c>
      <c r="I297" s="478"/>
      <c r="J297" s="478"/>
      <c r="K297" s="479"/>
    </row>
    <row r="298" spans="2:11">
      <c r="B298" s="376" t="s">
        <v>328</v>
      </c>
      <c r="C298" s="376" t="s">
        <v>1239</v>
      </c>
      <c r="D298" s="376"/>
      <c r="E298" s="343" t="s">
        <v>100</v>
      </c>
      <c r="F298" s="506"/>
      <c r="G298" s="506">
        <v>250</v>
      </c>
      <c r="H298" s="531"/>
      <c r="I298" s="478"/>
      <c r="J298" s="478"/>
      <c r="K298" s="479"/>
    </row>
    <row r="299" spans="2:11">
      <c r="B299" s="376" t="s">
        <v>328</v>
      </c>
      <c r="C299" s="376" t="s">
        <v>1240</v>
      </c>
      <c r="D299" s="376"/>
      <c r="E299" s="343" t="s">
        <v>100</v>
      </c>
      <c r="F299" s="506"/>
      <c r="G299" s="506">
        <v>280</v>
      </c>
      <c r="H299" s="531"/>
      <c r="I299" s="478"/>
      <c r="J299" s="478"/>
      <c r="K299" s="479"/>
    </row>
    <row r="300" spans="2:11">
      <c r="B300" s="376" t="s">
        <v>328</v>
      </c>
      <c r="C300" s="376" t="s">
        <v>1241</v>
      </c>
      <c r="D300" s="376"/>
      <c r="E300" s="343" t="s">
        <v>100</v>
      </c>
      <c r="F300" s="506"/>
      <c r="G300" s="506">
        <v>380</v>
      </c>
      <c r="H300" s="531"/>
      <c r="I300" s="478"/>
      <c r="J300" s="478"/>
      <c r="K300" s="479"/>
    </row>
    <row r="301" spans="2:11">
      <c r="B301" s="934" t="s">
        <v>1242</v>
      </c>
      <c r="C301" s="935"/>
      <c r="D301" s="935"/>
      <c r="E301" s="935"/>
      <c r="F301" s="935"/>
      <c r="G301" s="936"/>
      <c r="H301" s="531">
        <f>G301*1.25</f>
        <v>0</v>
      </c>
      <c r="I301" s="478"/>
      <c r="J301" s="478"/>
      <c r="K301" s="479"/>
    </row>
    <row r="302" spans="2:11">
      <c r="B302" s="937" t="s">
        <v>1243</v>
      </c>
      <c r="C302" s="938"/>
      <c r="D302" s="938"/>
      <c r="E302" s="938"/>
      <c r="F302" s="938"/>
      <c r="G302" s="939"/>
      <c r="H302" s="531"/>
      <c r="I302" s="478"/>
      <c r="J302" s="479"/>
      <c r="K302" s="479"/>
    </row>
    <row r="303" spans="2:11">
      <c r="B303" s="496" t="s">
        <v>1244</v>
      </c>
      <c r="C303" s="376" t="s">
        <v>1245</v>
      </c>
      <c r="D303" s="376"/>
      <c r="E303" s="343" t="s">
        <v>100</v>
      </c>
      <c r="F303" s="506"/>
      <c r="G303" s="536">
        <v>6200</v>
      </c>
      <c r="H303" s="943" t="s">
        <v>1246</v>
      </c>
      <c r="I303" s="944"/>
      <c r="J303" s="944"/>
      <c r="K303" s="944"/>
    </row>
    <row r="304" spans="2:11">
      <c r="B304" s="496" t="s">
        <v>1244</v>
      </c>
      <c r="C304" s="376" t="s">
        <v>1247</v>
      </c>
      <c r="D304" s="376"/>
      <c r="E304" s="343" t="s">
        <v>100</v>
      </c>
      <c r="F304" s="506"/>
      <c r="G304" s="536">
        <v>11000</v>
      </c>
      <c r="H304" s="943" t="s">
        <v>1248</v>
      </c>
      <c r="I304" s="944"/>
      <c r="J304" s="944"/>
      <c r="K304" s="944"/>
    </row>
    <row r="305" spans="2:11">
      <c r="B305" s="496" t="s">
        <v>1244</v>
      </c>
      <c r="C305" s="376" t="s">
        <v>1249</v>
      </c>
      <c r="D305" s="376"/>
      <c r="E305" s="343" t="s">
        <v>100</v>
      </c>
      <c r="F305" s="506"/>
      <c r="G305" s="536">
        <v>16000</v>
      </c>
      <c r="H305" s="531"/>
      <c r="I305" s="478"/>
      <c r="J305" s="478"/>
      <c r="K305" s="479"/>
    </row>
    <row r="306" spans="2:11">
      <c r="B306" s="496" t="s">
        <v>1244</v>
      </c>
      <c r="C306" s="376" t="s">
        <v>1250</v>
      </c>
      <c r="D306" s="376"/>
      <c r="E306" s="343" t="s">
        <v>100</v>
      </c>
      <c r="F306" s="506"/>
      <c r="G306" s="536">
        <v>20000</v>
      </c>
      <c r="H306" s="531"/>
      <c r="I306" s="478"/>
      <c r="J306" s="478"/>
      <c r="K306" s="479"/>
    </row>
    <row r="307" spans="2:11">
      <c r="B307" s="937" t="s">
        <v>1251</v>
      </c>
      <c r="C307" s="938"/>
      <c r="D307" s="938"/>
      <c r="E307" s="938"/>
      <c r="F307" s="938"/>
      <c r="G307" s="939"/>
      <c r="H307" s="531"/>
      <c r="I307" s="478"/>
      <c r="J307" s="478"/>
      <c r="K307" s="479"/>
    </row>
    <row r="308" spans="2:11">
      <c r="B308" s="496" t="s">
        <v>504</v>
      </c>
      <c r="C308" s="376"/>
      <c r="D308" s="376"/>
      <c r="E308" s="343" t="s">
        <v>100</v>
      </c>
      <c r="F308" s="506"/>
      <c r="G308" s="536">
        <v>300</v>
      </c>
      <c r="H308" s="531"/>
      <c r="I308" s="478"/>
      <c r="J308" s="478"/>
      <c r="K308" s="479"/>
    </row>
    <row r="309" spans="2:11">
      <c r="B309" s="496" t="s">
        <v>505</v>
      </c>
      <c r="C309" s="376"/>
      <c r="D309" s="376"/>
      <c r="E309" s="343" t="s">
        <v>100</v>
      </c>
      <c r="F309" s="506"/>
      <c r="G309" s="536">
        <v>300</v>
      </c>
      <c r="H309" s="531"/>
      <c r="I309" s="478"/>
      <c r="J309" s="478"/>
      <c r="K309" s="479"/>
    </row>
    <row r="310" spans="2:11">
      <c r="B310" s="496" t="s">
        <v>506</v>
      </c>
      <c r="C310" s="376"/>
      <c r="D310" s="376"/>
      <c r="E310" s="343" t="s">
        <v>100</v>
      </c>
      <c r="F310" s="506"/>
      <c r="G310" s="536">
        <f>300+150</f>
        <v>450</v>
      </c>
      <c r="H310" s="531"/>
      <c r="I310" s="478"/>
      <c r="J310" s="478"/>
      <c r="K310" s="479"/>
    </row>
    <row r="311" spans="2:11">
      <c r="B311" s="496" t="s">
        <v>1252</v>
      </c>
      <c r="C311" s="376"/>
      <c r="D311" s="376"/>
      <c r="E311" s="343" t="s">
        <v>100</v>
      </c>
      <c r="F311" s="506"/>
      <c r="G311" s="536">
        <v>250</v>
      </c>
      <c r="H311" s="531"/>
      <c r="I311" s="478"/>
      <c r="J311" s="478"/>
      <c r="K311" s="479"/>
    </row>
    <row r="312" spans="2:11">
      <c r="B312" s="496" t="s">
        <v>508</v>
      </c>
      <c r="C312" s="376"/>
      <c r="D312" s="376"/>
      <c r="E312" s="343" t="s">
        <v>100</v>
      </c>
      <c r="F312" s="506"/>
      <c r="G312" s="536">
        <v>25</v>
      </c>
      <c r="H312" s="531"/>
      <c r="I312" s="478"/>
      <c r="J312" s="478"/>
      <c r="K312" s="479"/>
    </row>
    <row r="313" spans="2:11">
      <c r="B313" s="496" t="s">
        <v>509</v>
      </c>
      <c r="C313" s="376"/>
      <c r="D313" s="376"/>
      <c r="E313" s="343" t="s">
        <v>100</v>
      </c>
      <c r="F313" s="506"/>
      <c r="G313" s="536">
        <v>60</v>
      </c>
      <c r="H313" s="531"/>
      <c r="I313" s="478"/>
      <c r="J313" s="478"/>
      <c r="K313" s="479"/>
    </row>
    <row r="314" spans="2:11">
      <c r="B314" s="496" t="s">
        <v>510</v>
      </c>
      <c r="C314" s="409"/>
      <c r="D314" s="409"/>
      <c r="E314" s="343" t="s">
        <v>100</v>
      </c>
      <c r="F314" s="506">
        <v>500</v>
      </c>
      <c r="G314" s="536">
        <v>100</v>
      </c>
      <c r="H314" s="531"/>
      <c r="I314" s="478"/>
      <c r="J314" s="478"/>
      <c r="K314" s="479"/>
    </row>
    <row r="315" spans="2:11">
      <c r="B315" s="409" t="s">
        <v>511</v>
      </c>
      <c r="C315" s="409"/>
      <c r="D315" s="409"/>
      <c r="E315" s="343" t="s">
        <v>547</v>
      </c>
      <c r="F315" s="506">
        <v>500</v>
      </c>
      <c r="G315" s="506">
        <v>150</v>
      </c>
      <c r="H315" s="531"/>
      <c r="I315" s="478" t="s">
        <v>924</v>
      </c>
      <c r="J315" s="478"/>
      <c r="K315" s="479"/>
    </row>
    <row r="316" spans="2:11">
      <c r="B316" s="937" t="s">
        <v>1253</v>
      </c>
      <c r="C316" s="938"/>
      <c r="D316" s="938"/>
      <c r="E316" s="938"/>
      <c r="F316" s="938"/>
      <c r="G316" s="939"/>
      <c r="H316" s="531">
        <f>G316*1.25</f>
        <v>0</v>
      </c>
      <c r="I316" s="478"/>
      <c r="J316" s="478"/>
      <c r="K316" s="479"/>
    </row>
    <row r="317" spans="2:11">
      <c r="B317" s="496" t="s">
        <v>513</v>
      </c>
      <c r="C317" s="376" t="s">
        <v>1254</v>
      </c>
      <c r="D317" s="376"/>
      <c r="E317" s="343" t="s">
        <v>100</v>
      </c>
      <c r="F317" s="506"/>
      <c r="G317" s="536">
        <v>1200</v>
      </c>
      <c r="H317" s="531"/>
      <c r="I317" s="478"/>
      <c r="J317" s="478"/>
      <c r="K317" s="479"/>
    </row>
    <row r="318" spans="2:11">
      <c r="B318" s="496" t="s">
        <v>513</v>
      </c>
      <c r="C318" s="376" t="s">
        <v>1255</v>
      </c>
      <c r="D318" s="376"/>
      <c r="E318" s="343" t="s">
        <v>100</v>
      </c>
      <c r="F318" s="506"/>
      <c r="G318" s="536">
        <v>1600</v>
      </c>
      <c r="H318" s="531"/>
      <c r="I318" s="478"/>
      <c r="J318" s="478"/>
      <c r="K318" s="479"/>
    </row>
    <row r="319" spans="2:11">
      <c r="B319" s="496" t="s">
        <v>513</v>
      </c>
      <c r="C319" s="376" t="s">
        <v>1256</v>
      </c>
      <c r="D319" s="376"/>
      <c r="E319" s="343" t="s">
        <v>100</v>
      </c>
      <c r="F319" s="506"/>
      <c r="G319" s="536">
        <v>2500</v>
      </c>
      <c r="H319" s="531"/>
      <c r="I319" s="478"/>
      <c r="J319" s="478"/>
      <c r="K319" s="479"/>
    </row>
    <row r="320" spans="2:11">
      <c r="B320" s="496" t="s">
        <v>517</v>
      </c>
      <c r="C320" s="376"/>
      <c r="D320" s="376"/>
      <c r="E320" s="343" t="s">
        <v>100</v>
      </c>
      <c r="F320" s="506"/>
      <c r="G320" s="536">
        <v>1000</v>
      </c>
      <c r="H320" s="531"/>
      <c r="I320" s="478"/>
      <c r="J320" s="478"/>
      <c r="K320" s="479"/>
    </row>
    <row r="321" spans="2:11">
      <c r="B321" s="496" t="s">
        <v>518</v>
      </c>
      <c r="C321" s="376"/>
      <c r="D321" s="376"/>
      <c r="E321" s="343" t="s">
        <v>100</v>
      </c>
      <c r="F321" s="506"/>
      <c r="G321" s="536">
        <v>2200</v>
      </c>
      <c r="H321" s="531"/>
      <c r="I321" s="478"/>
      <c r="J321" s="478"/>
      <c r="K321" s="479"/>
    </row>
    <row r="322" spans="2:11">
      <c r="B322" s="496" t="s">
        <v>519</v>
      </c>
      <c r="C322" s="376"/>
      <c r="D322" s="376"/>
      <c r="E322" s="343" t="s">
        <v>100</v>
      </c>
      <c r="F322" s="506"/>
      <c r="G322" s="538">
        <v>650</v>
      </c>
      <c r="H322" s="943" t="s">
        <v>1257</v>
      </c>
      <c r="I322" s="944"/>
      <c r="J322" s="944"/>
      <c r="K322" s="479"/>
    </row>
    <row r="323" spans="2:11">
      <c r="B323" s="937" t="s">
        <v>1258</v>
      </c>
      <c r="C323" s="938"/>
      <c r="D323" s="938"/>
      <c r="E323" s="938"/>
      <c r="F323" s="938"/>
      <c r="G323" s="939"/>
      <c r="H323" s="531">
        <f>G323*1.25</f>
        <v>0</v>
      </c>
      <c r="I323" s="478"/>
      <c r="J323" s="478"/>
      <c r="K323" s="479"/>
    </row>
    <row r="324" spans="2:11">
      <c r="B324" s="409" t="s">
        <v>1259</v>
      </c>
      <c r="C324" s="409"/>
      <c r="D324" s="409"/>
      <c r="E324" s="410"/>
      <c r="F324" s="945" t="s">
        <v>1260</v>
      </c>
      <c r="G324" s="946"/>
      <c r="H324" s="943" t="s">
        <v>1261</v>
      </c>
      <c r="I324" s="944"/>
      <c r="J324" s="944"/>
      <c r="K324" s="944"/>
    </row>
    <row r="325" spans="2:11">
      <c r="B325" s="376" t="s">
        <v>1262</v>
      </c>
      <c r="C325" s="376"/>
      <c r="D325" s="376"/>
      <c r="E325" s="343" t="s">
        <v>547</v>
      </c>
      <c r="F325" s="506"/>
      <c r="G325" s="506">
        <v>1600</v>
      </c>
      <c r="H325" s="531"/>
      <c r="I325" s="478"/>
      <c r="J325" s="539"/>
      <c r="K325" s="479"/>
    </row>
    <row r="326" spans="2:11">
      <c r="B326" s="376" t="s">
        <v>1263</v>
      </c>
      <c r="C326" s="376"/>
      <c r="D326" s="376"/>
      <c r="E326" s="343" t="s">
        <v>547</v>
      </c>
      <c r="F326" s="506"/>
      <c r="G326" s="506">
        <v>1600</v>
      </c>
      <c r="H326" s="531"/>
      <c r="I326" s="478"/>
      <c r="J326" s="539"/>
      <c r="K326" s="479"/>
    </row>
    <row r="327" spans="2:11">
      <c r="B327" s="376" t="s">
        <v>1264</v>
      </c>
      <c r="C327" s="376"/>
      <c r="D327" s="376"/>
      <c r="E327" s="343" t="s">
        <v>547</v>
      </c>
      <c r="F327" s="506"/>
      <c r="G327" s="506">
        <v>1600</v>
      </c>
      <c r="H327" s="531"/>
      <c r="I327" s="478"/>
      <c r="J327" s="539"/>
      <c r="K327" s="479"/>
    </row>
    <row r="328" spans="2:11">
      <c r="B328" s="937" t="s">
        <v>1265</v>
      </c>
      <c r="C328" s="938"/>
      <c r="D328" s="938"/>
      <c r="E328" s="938"/>
      <c r="F328" s="938"/>
      <c r="G328" s="939"/>
      <c r="H328" s="531"/>
      <c r="I328" s="478"/>
      <c r="J328" s="478"/>
      <c r="K328" s="479"/>
    </row>
    <row r="329" spans="2:11">
      <c r="B329" s="409" t="s">
        <v>520</v>
      </c>
      <c r="C329" s="376"/>
      <c r="D329" s="376"/>
      <c r="E329" s="343" t="s">
        <v>100</v>
      </c>
      <c r="F329" s="506"/>
      <c r="G329" s="506">
        <v>8000</v>
      </c>
      <c r="H329" s="531"/>
      <c r="I329" s="478"/>
      <c r="J329" s="478"/>
      <c r="K329" s="479"/>
    </row>
    <row r="330" spans="2:11">
      <c r="B330" s="409" t="s">
        <v>521</v>
      </c>
      <c r="C330" s="376"/>
      <c r="D330" s="376"/>
      <c r="E330" s="343" t="s">
        <v>100</v>
      </c>
      <c r="F330" s="506"/>
      <c r="G330" s="506">
        <v>6000</v>
      </c>
      <c r="H330" s="531"/>
      <c r="I330" s="478"/>
      <c r="J330" s="478"/>
      <c r="K330" s="479"/>
    </row>
    <row r="331" spans="2:11">
      <c r="B331" s="409" t="s">
        <v>522</v>
      </c>
      <c r="C331" s="376"/>
      <c r="D331" s="376"/>
      <c r="E331" s="343" t="s">
        <v>100</v>
      </c>
      <c r="F331" s="506"/>
      <c r="G331" s="481">
        <v>15000</v>
      </c>
      <c r="H331" s="531"/>
      <c r="I331" s="478"/>
      <c r="J331" s="478"/>
      <c r="K331" s="479"/>
    </row>
    <row r="332" spans="2:11">
      <c r="B332" s="409" t="s">
        <v>523</v>
      </c>
      <c r="C332" s="376"/>
      <c r="D332" s="376"/>
      <c r="E332" s="343"/>
      <c r="F332" s="506"/>
      <c r="G332" s="481">
        <v>8500</v>
      </c>
      <c r="H332" s="531"/>
      <c r="I332" s="478"/>
      <c r="J332" s="478"/>
      <c r="K332" s="479"/>
    </row>
    <row r="333" spans="2:11">
      <c r="B333" s="409" t="s">
        <v>524</v>
      </c>
      <c r="C333" s="376"/>
      <c r="D333" s="376"/>
      <c r="E333" s="343"/>
      <c r="F333" s="506"/>
      <c r="G333" s="481">
        <v>5000</v>
      </c>
      <c r="H333" s="531"/>
      <c r="I333" s="478"/>
      <c r="J333" s="478"/>
      <c r="K333" s="479"/>
    </row>
    <row r="334" spans="2:11">
      <c r="B334" s="409" t="s">
        <v>525</v>
      </c>
      <c r="C334" s="376"/>
      <c r="D334" s="376"/>
      <c r="E334" s="343"/>
      <c r="F334" s="506"/>
      <c r="G334" s="481">
        <v>15000</v>
      </c>
      <c r="H334" s="531"/>
      <c r="I334" s="478"/>
      <c r="J334" s="478"/>
      <c r="K334" s="479"/>
    </row>
    <row r="335" spans="2:11">
      <c r="B335" s="933" t="s">
        <v>1266</v>
      </c>
      <c r="C335" s="933"/>
      <c r="D335" s="933"/>
      <c r="E335" s="933"/>
      <c r="F335" s="933"/>
      <c r="G335" s="933"/>
      <c r="H335" s="531"/>
      <c r="I335" s="478"/>
      <c r="J335" s="478"/>
      <c r="K335" s="479"/>
    </row>
    <row r="336" spans="2:11">
      <c r="B336" s="496" t="s">
        <v>526</v>
      </c>
      <c r="C336" s="376" t="s">
        <v>1267</v>
      </c>
      <c r="D336" s="376"/>
      <c r="E336" s="343" t="s">
        <v>100</v>
      </c>
      <c r="F336" s="506"/>
      <c r="G336" s="536">
        <v>200</v>
      </c>
      <c r="H336" s="531"/>
      <c r="I336" s="478"/>
      <c r="J336" s="478"/>
      <c r="K336" s="479"/>
    </row>
    <row r="337" spans="2:11">
      <c r="B337" s="496" t="s">
        <v>526</v>
      </c>
      <c r="C337" s="376" t="s">
        <v>1268</v>
      </c>
      <c r="D337" s="376"/>
      <c r="E337" s="343" t="s">
        <v>100</v>
      </c>
      <c r="F337" s="506"/>
      <c r="G337" s="536">
        <v>240</v>
      </c>
      <c r="H337" s="531"/>
      <c r="I337" s="478"/>
      <c r="J337" s="478"/>
      <c r="K337" s="479"/>
    </row>
    <row r="338" spans="2:11">
      <c r="B338" s="496" t="s">
        <v>529</v>
      </c>
      <c r="C338" s="376"/>
      <c r="D338" s="376"/>
      <c r="E338" s="343" t="s">
        <v>100</v>
      </c>
      <c r="F338" s="506"/>
      <c r="G338" s="536">
        <v>120</v>
      </c>
      <c r="H338" s="531"/>
      <c r="I338" s="478"/>
      <c r="J338" s="478"/>
      <c r="K338" s="479"/>
    </row>
    <row r="339" spans="2:11">
      <c r="B339" s="496" t="s">
        <v>530</v>
      </c>
      <c r="C339" s="376"/>
      <c r="D339" s="376"/>
      <c r="E339" s="343" t="s">
        <v>100</v>
      </c>
      <c r="F339" s="506"/>
      <c r="G339" s="536">
        <v>200</v>
      </c>
      <c r="H339" s="531"/>
      <c r="I339" s="478"/>
      <c r="J339" s="478"/>
      <c r="K339" s="479"/>
    </row>
    <row r="340" spans="2:11">
      <c r="B340" s="496" t="s">
        <v>567</v>
      </c>
      <c r="C340" s="376"/>
      <c r="D340" s="376"/>
      <c r="E340" s="343" t="s">
        <v>100</v>
      </c>
      <c r="F340" s="506"/>
      <c r="G340" s="536">
        <v>20</v>
      </c>
      <c r="H340" s="531"/>
      <c r="I340" s="478"/>
      <c r="J340" s="478"/>
      <c r="K340" s="479"/>
    </row>
    <row r="341" spans="2:11">
      <c r="B341" s="496" t="s">
        <v>531</v>
      </c>
      <c r="C341" s="376"/>
      <c r="D341" s="376"/>
      <c r="E341" s="343" t="s">
        <v>100</v>
      </c>
      <c r="F341" s="506"/>
      <c r="G341" s="536">
        <v>15</v>
      </c>
      <c r="H341" s="531"/>
      <c r="I341" s="478"/>
      <c r="J341" s="478"/>
      <c r="K341" s="479"/>
    </row>
    <row r="342" spans="2:11">
      <c r="B342" s="496" t="s">
        <v>532</v>
      </c>
      <c r="C342" s="376" t="s">
        <v>1269</v>
      </c>
      <c r="D342" s="376"/>
      <c r="E342" s="343" t="s">
        <v>100</v>
      </c>
      <c r="F342" s="506"/>
      <c r="G342" s="536">
        <v>300</v>
      </c>
      <c r="H342" s="531"/>
      <c r="I342" s="478"/>
      <c r="J342" s="478"/>
      <c r="K342" s="479"/>
    </row>
    <row r="343" spans="2:11">
      <c r="B343" s="496" t="s">
        <v>532</v>
      </c>
      <c r="C343" s="376" t="s">
        <v>1270</v>
      </c>
      <c r="D343" s="376"/>
      <c r="E343" s="343" t="s">
        <v>100</v>
      </c>
      <c r="F343" s="506"/>
      <c r="G343" s="536">
        <v>500</v>
      </c>
      <c r="H343" s="531"/>
      <c r="I343" s="478"/>
      <c r="J343" s="478"/>
      <c r="K343" s="479"/>
    </row>
    <row r="344" spans="2:11">
      <c r="B344" s="496" t="s">
        <v>535</v>
      </c>
      <c r="C344" s="376"/>
      <c r="D344" s="376"/>
      <c r="E344" s="343" t="s">
        <v>100</v>
      </c>
      <c r="F344" s="506"/>
      <c r="G344" s="536">
        <v>200</v>
      </c>
      <c r="H344" s="531"/>
      <c r="I344" s="478"/>
      <c r="J344" s="478"/>
      <c r="K344" s="479"/>
    </row>
    <row r="345" spans="2:11">
      <c r="B345" s="409" t="s">
        <v>536</v>
      </c>
      <c r="C345" s="376" t="s">
        <v>1269</v>
      </c>
      <c r="D345" s="376"/>
      <c r="E345" s="343"/>
      <c r="F345" s="506"/>
      <c r="G345" s="536">
        <f>G342+G344</f>
        <v>500</v>
      </c>
      <c r="H345" s="531"/>
      <c r="I345" s="478"/>
      <c r="J345" s="478"/>
      <c r="K345" s="479"/>
    </row>
    <row r="346" spans="2:11">
      <c r="B346" s="409" t="s">
        <v>536</v>
      </c>
      <c r="C346" s="376" t="s">
        <v>1270</v>
      </c>
      <c r="D346" s="376"/>
      <c r="E346" s="343"/>
      <c r="F346" s="506"/>
      <c r="G346" s="536">
        <f>G343+G344</f>
        <v>700</v>
      </c>
      <c r="H346" s="531"/>
      <c r="I346" s="478"/>
      <c r="J346" s="478"/>
      <c r="K346" s="479"/>
    </row>
    <row r="347" spans="2:11">
      <c r="B347" s="496" t="s">
        <v>537</v>
      </c>
      <c r="C347" s="376"/>
      <c r="D347" s="376"/>
      <c r="E347" s="343" t="s">
        <v>100</v>
      </c>
      <c r="F347" s="506"/>
      <c r="G347" s="536">
        <v>100</v>
      </c>
      <c r="H347" s="531">
        <f>G347*1.25</f>
        <v>125</v>
      </c>
      <c r="I347" s="478"/>
      <c r="J347" s="478"/>
      <c r="K347" s="479"/>
    </row>
    <row r="348" spans="2:11">
      <c r="B348" s="497"/>
      <c r="C348" s="450"/>
      <c r="D348" s="450"/>
      <c r="E348" s="498"/>
      <c r="F348" s="540"/>
      <c r="G348" s="541"/>
      <c r="H348" s="531"/>
      <c r="I348" s="478"/>
      <c r="J348" s="478"/>
      <c r="K348" s="479"/>
    </row>
    <row r="349" spans="2:11">
      <c r="B349" s="496" t="s">
        <v>1271</v>
      </c>
      <c r="C349" s="376" t="s">
        <v>1272</v>
      </c>
      <c r="D349" s="376"/>
      <c r="E349" s="343" t="s">
        <v>100</v>
      </c>
      <c r="F349" s="506"/>
      <c r="G349" s="536">
        <v>300</v>
      </c>
      <c r="H349" s="531"/>
      <c r="I349" s="478"/>
      <c r="J349" s="478"/>
      <c r="K349" s="479"/>
    </row>
    <row r="350" spans="2:11">
      <c r="B350" s="496" t="s">
        <v>1271</v>
      </c>
      <c r="C350" s="376" t="s">
        <v>1273</v>
      </c>
      <c r="D350" s="376"/>
      <c r="E350" s="343" t="s">
        <v>100</v>
      </c>
      <c r="F350" s="506"/>
      <c r="G350" s="536">
        <v>400</v>
      </c>
      <c r="H350" s="531"/>
      <c r="I350" s="478"/>
      <c r="J350" s="478"/>
      <c r="K350" s="479"/>
    </row>
    <row r="351" spans="2:11" ht="23.25">
      <c r="B351" s="496" t="s">
        <v>1271</v>
      </c>
      <c r="C351" s="376" t="s">
        <v>1274</v>
      </c>
      <c r="D351" s="376"/>
      <c r="E351" s="343" t="s">
        <v>100</v>
      </c>
      <c r="F351" s="506"/>
      <c r="G351" s="536">
        <v>500</v>
      </c>
      <c r="H351" s="531"/>
      <c r="I351" s="478"/>
      <c r="J351" s="478"/>
      <c r="K351" s="479"/>
    </row>
    <row r="352" spans="2:11" ht="23.25">
      <c r="B352" s="496" t="s">
        <v>1271</v>
      </c>
      <c r="C352" s="376" t="s">
        <v>1275</v>
      </c>
      <c r="D352" s="376"/>
      <c r="E352" s="343" t="s">
        <v>100</v>
      </c>
      <c r="F352" s="506"/>
      <c r="G352" s="536">
        <v>650</v>
      </c>
      <c r="H352" s="531"/>
      <c r="I352" s="478"/>
      <c r="J352" s="478"/>
      <c r="K352" s="479"/>
    </row>
    <row r="353" spans="2:11">
      <c r="B353" s="496" t="s">
        <v>1271</v>
      </c>
      <c r="C353" s="376" t="s">
        <v>1276</v>
      </c>
      <c r="D353" s="376"/>
      <c r="E353" s="343" t="s">
        <v>100</v>
      </c>
      <c r="F353" s="506"/>
      <c r="G353" s="536">
        <v>800</v>
      </c>
      <c r="H353" s="531"/>
      <c r="I353" s="478"/>
      <c r="J353" s="478"/>
      <c r="K353" s="479"/>
    </row>
    <row r="354" spans="2:11">
      <c r="B354" s="937" t="s">
        <v>1277</v>
      </c>
      <c r="C354" s="938"/>
      <c r="D354" s="938"/>
      <c r="E354" s="938"/>
      <c r="F354" s="938"/>
      <c r="G354" s="939"/>
      <c r="H354" s="531"/>
      <c r="I354" s="478"/>
      <c r="J354" s="478"/>
      <c r="K354" s="479"/>
    </row>
    <row r="355" spans="2:11">
      <c r="B355" s="376" t="s">
        <v>543</v>
      </c>
      <c r="C355" s="376"/>
      <c r="D355" s="376"/>
      <c r="E355" s="343" t="s">
        <v>544</v>
      </c>
      <c r="F355" s="506"/>
      <c r="G355" s="506">
        <v>7500</v>
      </c>
      <c r="H355" s="531"/>
      <c r="I355" s="478"/>
      <c r="J355" s="478"/>
      <c r="K355" s="479"/>
    </row>
    <row r="356" spans="2:11">
      <c r="B356" s="376" t="s">
        <v>545</v>
      </c>
      <c r="C356" s="376"/>
      <c r="D356" s="376"/>
      <c r="E356" s="343" t="s">
        <v>544</v>
      </c>
      <c r="F356" s="506"/>
      <c r="G356" s="506">
        <v>5500</v>
      </c>
      <c r="H356" s="531"/>
      <c r="I356" s="478"/>
      <c r="J356" s="478"/>
      <c r="K356" s="479"/>
    </row>
    <row r="357" spans="2:11">
      <c r="B357" s="937" t="s">
        <v>1278</v>
      </c>
      <c r="C357" s="938"/>
      <c r="D357" s="938"/>
      <c r="E357" s="938"/>
      <c r="F357" s="938"/>
      <c r="G357" s="939"/>
      <c r="H357" s="531"/>
      <c r="I357" s="478"/>
      <c r="J357" s="478"/>
      <c r="K357" s="479"/>
    </row>
    <row r="358" spans="2:11">
      <c r="B358" s="376" t="s">
        <v>1279</v>
      </c>
      <c r="C358" s="376" t="s">
        <v>1280</v>
      </c>
      <c r="D358" s="376"/>
      <c r="E358" s="343" t="s">
        <v>100</v>
      </c>
      <c r="F358" s="506"/>
      <c r="G358" s="506">
        <v>50</v>
      </c>
      <c r="H358" s="531"/>
      <c r="I358" s="478"/>
      <c r="J358" s="478"/>
      <c r="K358" s="479"/>
    </row>
    <row r="359" spans="2:11">
      <c r="B359" s="376" t="s">
        <v>1279</v>
      </c>
      <c r="C359" s="376" t="s">
        <v>1281</v>
      </c>
      <c r="D359" s="376"/>
      <c r="E359" s="343" t="s">
        <v>100</v>
      </c>
      <c r="F359" s="506"/>
      <c r="G359" s="506">
        <v>100</v>
      </c>
      <c r="H359" s="531"/>
      <c r="I359" s="478"/>
      <c r="J359" s="478"/>
      <c r="K359" s="479"/>
    </row>
    <row r="360" spans="2:11">
      <c r="B360" s="376" t="s">
        <v>1279</v>
      </c>
      <c r="C360" s="376" t="s">
        <v>1282</v>
      </c>
      <c r="D360" s="376"/>
      <c r="E360" s="343" t="s">
        <v>100</v>
      </c>
      <c r="F360" s="506"/>
      <c r="G360" s="506">
        <v>237.5</v>
      </c>
      <c r="H360" s="531"/>
      <c r="I360" s="478"/>
      <c r="J360" s="478"/>
      <c r="K360" s="479"/>
    </row>
    <row r="361" spans="2:11">
      <c r="B361" s="376" t="s">
        <v>1279</v>
      </c>
      <c r="C361" s="376" t="s">
        <v>1283</v>
      </c>
      <c r="D361" s="376"/>
      <c r="E361" s="343" t="s">
        <v>100</v>
      </c>
      <c r="F361" s="506"/>
      <c r="G361" s="506">
        <v>625</v>
      </c>
      <c r="H361" s="531"/>
      <c r="I361" s="478"/>
      <c r="J361" s="478"/>
      <c r="K361" s="479"/>
    </row>
    <row r="362" spans="2:11">
      <c r="B362" s="937" t="s">
        <v>1284</v>
      </c>
      <c r="C362" s="938"/>
      <c r="D362" s="938"/>
      <c r="E362" s="938"/>
      <c r="F362" s="938"/>
      <c r="G362" s="939"/>
      <c r="H362" s="531"/>
      <c r="I362" s="478"/>
      <c r="J362" s="478"/>
      <c r="K362" s="479"/>
    </row>
    <row r="363" spans="2:11">
      <c r="B363" s="376" t="s">
        <v>546</v>
      </c>
      <c r="C363" s="376"/>
      <c r="D363" s="376"/>
      <c r="E363" s="343" t="s">
        <v>100</v>
      </c>
      <c r="F363" s="506"/>
      <c r="G363" s="542">
        <v>2000</v>
      </c>
      <c r="H363" s="499"/>
      <c r="I363" s="359"/>
      <c r="J363" s="359"/>
      <c r="K363" s="359"/>
    </row>
    <row r="364" spans="2:11">
      <c r="B364" s="376" t="s">
        <v>548</v>
      </c>
      <c r="C364" s="376" t="s">
        <v>1285</v>
      </c>
      <c r="D364" s="376"/>
      <c r="E364" s="343" t="s">
        <v>100</v>
      </c>
      <c r="F364" s="506"/>
      <c r="G364" s="542">
        <v>2000</v>
      </c>
      <c r="H364" s="499"/>
      <c r="I364" s="359"/>
      <c r="J364" s="359"/>
      <c r="K364" s="359"/>
    </row>
    <row r="365" spans="2:11">
      <c r="B365" s="376" t="s">
        <v>548</v>
      </c>
      <c r="C365" s="376" t="s">
        <v>1286</v>
      </c>
      <c r="D365" s="376"/>
      <c r="E365" s="343" t="s">
        <v>100</v>
      </c>
      <c r="F365" s="506"/>
      <c r="G365" s="542">
        <v>3000</v>
      </c>
      <c r="H365" s="499"/>
      <c r="I365" s="359"/>
      <c r="J365" s="359"/>
      <c r="K365" s="359"/>
    </row>
    <row r="366" spans="2:11">
      <c r="B366" s="941"/>
      <c r="C366" s="938"/>
      <c r="D366" s="938"/>
      <c r="E366" s="938"/>
      <c r="F366" s="938"/>
      <c r="G366" s="942"/>
    </row>
    <row r="367" spans="2:11">
      <c r="B367" s="409" t="s">
        <v>1287</v>
      </c>
      <c r="C367" s="376"/>
      <c r="D367" s="376" t="s">
        <v>1126</v>
      </c>
      <c r="E367" s="343" t="s">
        <v>100</v>
      </c>
      <c r="F367" s="506"/>
      <c r="G367" s="543">
        <v>200</v>
      </c>
    </row>
    <row r="368" spans="2:11">
      <c r="B368" s="409" t="s">
        <v>1287</v>
      </c>
      <c r="C368" s="376"/>
      <c r="D368" s="376" t="s">
        <v>1220</v>
      </c>
      <c r="E368" s="343" t="s">
        <v>100</v>
      </c>
      <c r="F368" s="506"/>
      <c r="G368" s="543">
        <v>300</v>
      </c>
    </row>
    <row r="369" spans="2:7">
      <c r="B369" s="409" t="s">
        <v>1288</v>
      </c>
      <c r="C369" s="376" t="s">
        <v>47</v>
      </c>
      <c r="D369" s="376"/>
      <c r="E369" s="343" t="s">
        <v>100</v>
      </c>
      <c r="F369" s="506"/>
      <c r="G369" s="543">
        <v>25</v>
      </c>
    </row>
    <row r="370" spans="2:7">
      <c r="B370" s="409" t="s">
        <v>1288</v>
      </c>
      <c r="C370" s="376" t="s">
        <v>49</v>
      </c>
      <c r="D370" s="376"/>
      <c r="E370" s="343" t="s">
        <v>100</v>
      </c>
      <c r="F370" s="506"/>
      <c r="G370" s="543">
        <v>30</v>
      </c>
    </row>
    <row r="371" spans="2:7">
      <c r="B371" s="409" t="s">
        <v>1288</v>
      </c>
      <c r="C371" s="376" t="s">
        <v>51</v>
      </c>
      <c r="D371" s="376"/>
      <c r="E371" s="343" t="s">
        <v>100</v>
      </c>
      <c r="F371" s="506"/>
      <c r="G371" s="543">
        <v>35</v>
      </c>
    </row>
    <row r="372" spans="2:7">
      <c r="B372" s="409" t="s">
        <v>1288</v>
      </c>
      <c r="C372" s="376" t="s">
        <v>53</v>
      </c>
      <c r="D372" s="376"/>
      <c r="E372" s="343" t="s">
        <v>100</v>
      </c>
      <c r="F372" s="506"/>
      <c r="G372" s="543">
        <v>50</v>
      </c>
    </row>
    <row r="373" spans="2:7">
      <c r="B373" s="409" t="s">
        <v>1288</v>
      </c>
      <c r="C373" s="376" t="s">
        <v>55</v>
      </c>
      <c r="D373" s="376"/>
      <c r="E373" s="343" t="s">
        <v>100</v>
      </c>
      <c r="F373" s="506"/>
      <c r="G373" s="543">
        <v>55</v>
      </c>
    </row>
    <row r="374" spans="2:7">
      <c r="B374" s="409" t="s">
        <v>1288</v>
      </c>
      <c r="C374" s="376" t="s">
        <v>57</v>
      </c>
      <c r="D374" s="376"/>
      <c r="E374" s="343" t="s">
        <v>100</v>
      </c>
      <c r="F374" s="506"/>
      <c r="G374" s="543">
        <v>75</v>
      </c>
    </row>
  </sheetData>
  <mergeCells count="46">
    <mergeCell ref="B354:G354"/>
    <mergeCell ref="B357:G357"/>
    <mergeCell ref="B362:G362"/>
    <mergeCell ref="B366:G366"/>
    <mergeCell ref="H303:K303"/>
    <mergeCell ref="H304:K304"/>
    <mergeCell ref="B307:G307"/>
    <mergeCell ref="B316:G316"/>
    <mergeCell ref="H322:J322"/>
    <mergeCell ref="B323:G323"/>
    <mergeCell ref="F324:G324"/>
    <mergeCell ref="H324:K324"/>
    <mergeCell ref="B328:G328"/>
    <mergeCell ref="B335:G335"/>
    <mergeCell ref="B174:G174"/>
    <mergeCell ref="B176:G176"/>
    <mergeCell ref="B177:G177"/>
    <mergeCell ref="B192:G192"/>
    <mergeCell ref="B143:G143"/>
    <mergeCell ref="B165:G165"/>
    <mergeCell ref="B171:G171"/>
    <mergeCell ref="B293:G293"/>
    <mergeCell ref="B297:G297"/>
    <mergeCell ref="B301:G301"/>
    <mergeCell ref="B302:G302"/>
    <mergeCell ref="B210:G210"/>
    <mergeCell ref="B227:G227"/>
    <mergeCell ref="B242:G242"/>
    <mergeCell ref="B257:G257"/>
    <mergeCell ref="B271:G271"/>
    <mergeCell ref="B276:G276"/>
    <mergeCell ref="B286:G286"/>
    <mergeCell ref="H172:H173"/>
    <mergeCell ref="B2:G2"/>
    <mergeCell ref="B3:G3"/>
    <mergeCell ref="B20:G20"/>
    <mergeCell ref="B89:G89"/>
    <mergeCell ref="B37:G37"/>
    <mergeCell ref="B48:G48"/>
    <mergeCell ref="B58:G58"/>
    <mergeCell ref="B73:G73"/>
    <mergeCell ref="B78:G78"/>
    <mergeCell ref="B100:G100"/>
    <mergeCell ref="B101:G101"/>
    <mergeCell ref="B106:G106"/>
    <mergeCell ref="B125:G1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B09F-82B2-4433-8203-1FA38A5AC8F7}">
  <dimension ref="A1:T40"/>
  <sheetViews>
    <sheetView workbookViewId="0"/>
  </sheetViews>
  <sheetFormatPr defaultRowHeight="15"/>
  <cols>
    <col min="1" max="1" width="14.28515625" customWidth="1"/>
    <col min="2" max="2" width="28.28515625" customWidth="1"/>
    <col min="3" max="3" width="13.28515625" customWidth="1"/>
    <col min="12" max="12" width="11.140625" customWidth="1"/>
    <col min="13" max="13" width="11.28515625" customWidth="1"/>
    <col min="18" max="18" width="11.85546875" customWidth="1"/>
    <col min="19" max="19" width="12.140625" customWidth="1"/>
    <col min="257" max="257" width="14.28515625" customWidth="1"/>
    <col min="258" max="258" width="28.28515625" customWidth="1"/>
    <col min="259" max="259" width="13.28515625" customWidth="1"/>
    <col min="268" max="268" width="11.140625" customWidth="1"/>
    <col min="269" max="269" width="11.28515625" customWidth="1"/>
    <col min="274" max="274" width="11.85546875" customWidth="1"/>
    <col min="275" max="275" width="12.140625" customWidth="1"/>
    <col min="513" max="513" width="14.28515625" customWidth="1"/>
    <col min="514" max="514" width="28.28515625" customWidth="1"/>
    <col min="515" max="515" width="13.28515625" customWidth="1"/>
    <col min="524" max="524" width="11.140625" customWidth="1"/>
    <col min="525" max="525" width="11.28515625" customWidth="1"/>
    <col min="530" max="530" width="11.85546875" customWidth="1"/>
    <col min="531" max="531" width="12.140625" customWidth="1"/>
    <col min="769" max="769" width="14.28515625" customWidth="1"/>
    <col min="770" max="770" width="28.28515625" customWidth="1"/>
    <col min="771" max="771" width="13.28515625" customWidth="1"/>
    <col min="780" max="780" width="11.140625" customWidth="1"/>
    <col min="781" max="781" width="11.28515625" customWidth="1"/>
    <col min="786" max="786" width="11.85546875" customWidth="1"/>
    <col min="787" max="787" width="12.140625" customWidth="1"/>
    <col min="1025" max="1025" width="14.28515625" customWidth="1"/>
    <col min="1026" max="1026" width="28.28515625" customWidth="1"/>
    <col min="1027" max="1027" width="13.28515625" customWidth="1"/>
    <col min="1036" max="1036" width="11.140625" customWidth="1"/>
    <col min="1037" max="1037" width="11.28515625" customWidth="1"/>
    <col min="1042" max="1042" width="11.85546875" customWidth="1"/>
    <col min="1043" max="1043" width="12.140625" customWidth="1"/>
    <col min="1281" max="1281" width="14.28515625" customWidth="1"/>
    <col min="1282" max="1282" width="28.28515625" customWidth="1"/>
    <col min="1283" max="1283" width="13.28515625" customWidth="1"/>
    <col min="1292" max="1292" width="11.140625" customWidth="1"/>
    <col min="1293" max="1293" width="11.28515625" customWidth="1"/>
    <col min="1298" max="1298" width="11.85546875" customWidth="1"/>
    <col min="1299" max="1299" width="12.140625" customWidth="1"/>
    <col min="1537" max="1537" width="14.28515625" customWidth="1"/>
    <col min="1538" max="1538" width="28.28515625" customWidth="1"/>
    <col min="1539" max="1539" width="13.28515625" customWidth="1"/>
    <col min="1548" max="1548" width="11.140625" customWidth="1"/>
    <col min="1549" max="1549" width="11.28515625" customWidth="1"/>
    <col min="1554" max="1554" width="11.85546875" customWidth="1"/>
    <col min="1555" max="1555" width="12.140625" customWidth="1"/>
    <col min="1793" max="1793" width="14.28515625" customWidth="1"/>
    <col min="1794" max="1794" width="28.28515625" customWidth="1"/>
    <col min="1795" max="1795" width="13.28515625" customWidth="1"/>
    <col min="1804" max="1804" width="11.140625" customWidth="1"/>
    <col min="1805" max="1805" width="11.28515625" customWidth="1"/>
    <col min="1810" max="1810" width="11.85546875" customWidth="1"/>
    <col min="1811" max="1811" width="12.140625" customWidth="1"/>
    <col min="2049" max="2049" width="14.28515625" customWidth="1"/>
    <col min="2050" max="2050" width="28.28515625" customWidth="1"/>
    <col min="2051" max="2051" width="13.28515625" customWidth="1"/>
    <col min="2060" max="2060" width="11.140625" customWidth="1"/>
    <col min="2061" max="2061" width="11.28515625" customWidth="1"/>
    <col min="2066" max="2066" width="11.85546875" customWidth="1"/>
    <col min="2067" max="2067" width="12.140625" customWidth="1"/>
    <col min="2305" max="2305" width="14.28515625" customWidth="1"/>
    <col min="2306" max="2306" width="28.28515625" customWidth="1"/>
    <col min="2307" max="2307" width="13.28515625" customWidth="1"/>
    <col min="2316" max="2316" width="11.140625" customWidth="1"/>
    <col min="2317" max="2317" width="11.28515625" customWidth="1"/>
    <col min="2322" max="2322" width="11.85546875" customWidth="1"/>
    <col min="2323" max="2323" width="12.140625" customWidth="1"/>
    <col min="2561" max="2561" width="14.28515625" customWidth="1"/>
    <col min="2562" max="2562" width="28.28515625" customWidth="1"/>
    <col min="2563" max="2563" width="13.28515625" customWidth="1"/>
    <col min="2572" max="2572" width="11.140625" customWidth="1"/>
    <col min="2573" max="2573" width="11.28515625" customWidth="1"/>
    <col min="2578" max="2578" width="11.85546875" customWidth="1"/>
    <col min="2579" max="2579" width="12.140625" customWidth="1"/>
    <col min="2817" max="2817" width="14.28515625" customWidth="1"/>
    <col min="2818" max="2818" width="28.28515625" customWidth="1"/>
    <col min="2819" max="2819" width="13.28515625" customWidth="1"/>
    <col min="2828" max="2828" width="11.140625" customWidth="1"/>
    <col min="2829" max="2829" width="11.28515625" customWidth="1"/>
    <col min="2834" max="2834" width="11.85546875" customWidth="1"/>
    <col min="2835" max="2835" width="12.140625" customWidth="1"/>
    <col min="3073" max="3073" width="14.28515625" customWidth="1"/>
    <col min="3074" max="3074" width="28.28515625" customWidth="1"/>
    <col min="3075" max="3075" width="13.28515625" customWidth="1"/>
    <col min="3084" max="3084" width="11.140625" customWidth="1"/>
    <col min="3085" max="3085" width="11.28515625" customWidth="1"/>
    <col min="3090" max="3090" width="11.85546875" customWidth="1"/>
    <col min="3091" max="3091" width="12.140625" customWidth="1"/>
    <col min="3329" max="3329" width="14.28515625" customWidth="1"/>
    <col min="3330" max="3330" width="28.28515625" customWidth="1"/>
    <col min="3331" max="3331" width="13.28515625" customWidth="1"/>
    <col min="3340" max="3340" width="11.140625" customWidth="1"/>
    <col min="3341" max="3341" width="11.28515625" customWidth="1"/>
    <col min="3346" max="3346" width="11.85546875" customWidth="1"/>
    <col min="3347" max="3347" width="12.140625" customWidth="1"/>
    <col min="3585" max="3585" width="14.28515625" customWidth="1"/>
    <col min="3586" max="3586" width="28.28515625" customWidth="1"/>
    <col min="3587" max="3587" width="13.28515625" customWidth="1"/>
    <col min="3596" max="3596" width="11.140625" customWidth="1"/>
    <col min="3597" max="3597" width="11.28515625" customWidth="1"/>
    <col min="3602" max="3602" width="11.85546875" customWidth="1"/>
    <col min="3603" max="3603" width="12.140625" customWidth="1"/>
    <col min="3841" max="3841" width="14.28515625" customWidth="1"/>
    <col min="3842" max="3842" width="28.28515625" customWidth="1"/>
    <col min="3843" max="3843" width="13.28515625" customWidth="1"/>
    <col min="3852" max="3852" width="11.140625" customWidth="1"/>
    <col min="3853" max="3853" width="11.28515625" customWidth="1"/>
    <col min="3858" max="3858" width="11.85546875" customWidth="1"/>
    <col min="3859" max="3859" width="12.140625" customWidth="1"/>
    <col min="4097" max="4097" width="14.28515625" customWidth="1"/>
    <col min="4098" max="4098" width="28.28515625" customWidth="1"/>
    <col min="4099" max="4099" width="13.28515625" customWidth="1"/>
    <col min="4108" max="4108" width="11.140625" customWidth="1"/>
    <col min="4109" max="4109" width="11.28515625" customWidth="1"/>
    <col min="4114" max="4114" width="11.85546875" customWidth="1"/>
    <col min="4115" max="4115" width="12.140625" customWidth="1"/>
    <col min="4353" max="4353" width="14.28515625" customWidth="1"/>
    <col min="4354" max="4354" width="28.28515625" customWidth="1"/>
    <col min="4355" max="4355" width="13.28515625" customWidth="1"/>
    <col min="4364" max="4364" width="11.140625" customWidth="1"/>
    <col min="4365" max="4365" width="11.28515625" customWidth="1"/>
    <col min="4370" max="4370" width="11.85546875" customWidth="1"/>
    <col min="4371" max="4371" width="12.140625" customWidth="1"/>
    <col min="4609" max="4609" width="14.28515625" customWidth="1"/>
    <col min="4610" max="4610" width="28.28515625" customWidth="1"/>
    <col min="4611" max="4611" width="13.28515625" customWidth="1"/>
    <col min="4620" max="4620" width="11.140625" customWidth="1"/>
    <col min="4621" max="4621" width="11.28515625" customWidth="1"/>
    <col min="4626" max="4626" width="11.85546875" customWidth="1"/>
    <col min="4627" max="4627" width="12.140625" customWidth="1"/>
    <col min="4865" max="4865" width="14.28515625" customWidth="1"/>
    <col min="4866" max="4866" width="28.28515625" customWidth="1"/>
    <col min="4867" max="4867" width="13.28515625" customWidth="1"/>
    <col min="4876" max="4876" width="11.140625" customWidth="1"/>
    <col min="4877" max="4877" width="11.28515625" customWidth="1"/>
    <col min="4882" max="4882" width="11.85546875" customWidth="1"/>
    <col min="4883" max="4883" width="12.140625" customWidth="1"/>
    <col min="5121" max="5121" width="14.28515625" customWidth="1"/>
    <col min="5122" max="5122" width="28.28515625" customWidth="1"/>
    <col min="5123" max="5123" width="13.28515625" customWidth="1"/>
    <col min="5132" max="5132" width="11.140625" customWidth="1"/>
    <col min="5133" max="5133" width="11.28515625" customWidth="1"/>
    <col min="5138" max="5138" width="11.85546875" customWidth="1"/>
    <col min="5139" max="5139" width="12.140625" customWidth="1"/>
    <col min="5377" max="5377" width="14.28515625" customWidth="1"/>
    <col min="5378" max="5378" width="28.28515625" customWidth="1"/>
    <col min="5379" max="5379" width="13.28515625" customWidth="1"/>
    <col min="5388" max="5388" width="11.140625" customWidth="1"/>
    <col min="5389" max="5389" width="11.28515625" customWidth="1"/>
    <col min="5394" max="5394" width="11.85546875" customWidth="1"/>
    <col min="5395" max="5395" width="12.140625" customWidth="1"/>
    <col min="5633" max="5633" width="14.28515625" customWidth="1"/>
    <col min="5634" max="5634" width="28.28515625" customWidth="1"/>
    <col min="5635" max="5635" width="13.28515625" customWidth="1"/>
    <col min="5644" max="5644" width="11.140625" customWidth="1"/>
    <col min="5645" max="5645" width="11.28515625" customWidth="1"/>
    <col min="5650" max="5650" width="11.85546875" customWidth="1"/>
    <col min="5651" max="5651" width="12.140625" customWidth="1"/>
    <col min="5889" max="5889" width="14.28515625" customWidth="1"/>
    <col min="5890" max="5890" width="28.28515625" customWidth="1"/>
    <col min="5891" max="5891" width="13.28515625" customWidth="1"/>
    <col min="5900" max="5900" width="11.140625" customWidth="1"/>
    <col min="5901" max="5901" width="11.28515625" customWidth="1"/>
    <col min="5906" max="5906" width="11.85546875" customWidth="1"/>
    <col min="5907" max="5907" width="12.140625" customWidth="1"/>
    <col min="6145" max="6145" width="14.28515625" customWidth="1"/>
    <col min="6146" max="6146" width="28.28515625" customWidth="1"/>
    <col min="6147" max="6147" width="13.28515625" customWidth="1"/>
    <col min="6156" max="6156" width="11.140625" customWidth="1"/>
    <col min="6157" max="6157" width="11.28515625" customWidth="1"/>
    <col min="6162" max="6162" width="11.85546875" customWidth="1"/>
    <col min="6163" max="6163" width="12.140625" customWidth="1"/>
    <col min="6401" max="6401" width="14.28515625" customWidth="1"/>
    <col min="6402" max="6402" width="28.28515625" customWidth="1"/>
    <col min="6403" max="6403" width="13.28515625" customWidth="1"/>
    <col min="6412" max="6412" width="11.140625" customWidth="1"/>
    <col min="6413" max="6413" width="11.28515625" customWidth="1"/>
    <col min="6418" max="6418" width="11.85546875" customWidth="1"/>
    <col min="6419" max="6419" width="12.140625" customWidth="1"/>
    <col min="6657" max="6657" width="14.28515625" customWidth="1"/>
    <col min="6658" max="6658" width="28.28515625" customWidth="1"/>
    <col min="6659" max="6659" width="13.28515625" customWidth="1"/>
    <col min="6668" max="6668" width="11.140625" customWidth="1"/>
    <col min="6669" max="6669" width="11.28515625" customWidth="1"/>
    <col min="6674" max="6674" width="11.85546875" customWidth="1"/>
    <col min="6675" max="6675" width="12.140625" customWidth="1"/>
    <col min="6913" max="6913" width="14.28515625" customWidth="1"/>
    <col min="6914" max="6914" width="28.28515625" customWidth="1"/>
    <col min="6915" max="6915" width="13.28515625" customWidth="1"/>
    <col min="6924" max="6924" width="11.140625" customWidth="1"/>
    <col min="6925" max="6925" width="11.28515625" customWidth="1"/>
    <col min="6930" max="6930" width="11.85546875" customWidth="1"/>
    <col min="6931" max="6931" width="12.140625" customWidth="1"/>
    <col min="7169" max="7169" width="14.28515625" customWidth="1"/>
    <col min="7170" max="7170" width="28.28515625" customWidth="1"/>
    <col min="7171" max="7171" width="13.28515625" customWidth="1"/>
    <col min="7180" max="7180" width="11.140625" customWidth="1"/>
    <col min="7181" max="7181" width="11.28515625" customWidth="1"/>
    <col min="7186" max="7186" width="11.85546875" customWidth="1"/>
    <col min="7187" max="7187" width="12.140625" customWidth="1"/>
    <col min="7425" max="7425" width="14.28515625" customWidth="1"/>
    <col min="7426" max="7426" width="28.28515625" customWidth="1"/>
    <col min="7427" max="7427" width="13.28515625" customWidth="1"/>
    <col min="7436" max="7436" width="11.140625" customWidth="1"/>
    <col min="7437" max="7437" width="11.28515625" customWidth="1"/>
    <col min="7442" max="7442" width="11.85546875" customWidth="1"/>
    <col min="7443" max="7443" width="12.140625" customWidth="1"/>
    <col min="7681" max="7681" width="14.28515625" customWidth="1"/>
    <col min="7682" max="7682" width="28.28515625" customWidth="1"/>
    <col min="7683" max="7683" width="13.28515625" customWidth="1"/>
    <col min="7692" max="7692" width="11.140625" customWidth="1"/>
    <col min="7693" max="7693" width="11.28515625" customWidth="1"/>
    <col min="7698" max="7698" width="11.85546875" customWidth="1"/>
    <col min="7699" max="7699" width="12.140625" customWidth="1"/>
    <col min="7937" max="7937" width="14.28515625" customWidth="1"/>
    <col min="7938" max="7938" width="28.28515625" customWidth="1"/>
    <col min="7939" max="7939" width="13.28515625" customWidth="1"/>
    <col min="7948" max="7948" width="11.140625" customWidth="1"/>
    <col min="7949" max="7949" width="11.28515625" customWidth="1"/>
    <col min="7954" max="7954" width="11.85546875" customWidth="1"/>
    <col min="7955" max="7955" width="12.140625" customWidth="1"/>
    <col min="8193" max="8193" width="14.28515625" customWidth="1"/>
    <col min="8194" max="8194" width="28.28515625" customWidth="1"/>
    <col min="8195" max="8195" width="13.28515625" customWidth="1"/>
    <col min="8204" max="8204" width="11.140625" customWidth="1"/>
    <col min="8205" max="8205" width="11.28515625" customWidth="1"/>
    <col min="8210" max="8210" width="11.85546875" customWidth="1"/>
    <col min="8211" max="8211" width="12.140625" customWidth="1"/>
    <col min="8449" max="8449" width="14.28515625" customWidth="1"/>
    <col min="8450" max="8450" width="28.28515625" customWidth="1"/>
    <col min="8451" max="8451" width="13.28515625" customWidth="1"/>
    <col min="8460" max="8460" width="11.140625" customWidth="1"/>
    <col min="8461" max="8461" width="11.28515625" customWidth="1"/>
    <col min="8466" max="8466" width="11.85546875" customWidth="1"/>
    <col min="8467" max="8467" width="12.140625" customWidth="1"/>
    <col min="8705" max="8705" width="14.28515625" customWidth="1"/>
    <col min="8706" max="8706" width="28.28515625" customWidth="1"/>
    <col min="8707" max="8707" width="13.28515625" customWidth="1"/>
    <col min="8716" max="8716" width="11.140625" customWidth="1"/>
    <col min="8717" max="8717" width="11.28515625" customWidth="1"/>
    <col min="8722" max="8722" width="11.85546875" customWidth="1"/>
    <col min="8723" max="8723" width="12.140625" customWidth="1"/>
    <col min="8961" max="8961" width="14.28515625" customWidth="1"/>
    <col min="8962" max="8962" width="28.28515625" customWidth="1"/>
    <col min="8963" max="8963" width="13.28515625" customWidth="1"/>
    <col min="8972" max="8972" width="11.140625" customWidth="1"/>
    <col min="8973" max="8973" width="11.28515625" customWidth="1"/>
    <col min="8978" max="8978" width="11.85546875" customWidth="1"/>
    <col min="8979" max="8979" width="12.140625" customWidth="1"/>
    <col min="9217" max="9217" width="14.28515625" customWidth="1"/>
    <col min="9218" max="9218" width="28.28515625" customWidth="1"/>
    <col min="9219" max="9219" width="13.28515625" customWidth="1"/>
    <col min="9228" max="9228" width="11.140625" customWidth="1"/>
    <col min="9229" max="9229" width="11.28515625" customWidth="1"/>
    <col min="9234" max="9234" width="11.85546875" customWidth="1"/>
    <col min="9235" max="9235" width="12.140625" customWidth="1"/>
    <col min="9473" max="9473" width="14.28515625" customWidth="1"/>
    <col min="9474" max="9474" width="28.28515625" customWidth="1"/>
    <col min="9475" max="9475" width="13.28515625" customWidth="1"/>
    <col min="9484" max="9484" width="11.140625" customWidth="1"/>
    <col min="9485" max="9485" width="11.28515625" customWidth="1"/>
    <col min="9490" max="9490" width="11.85546875" customWidth="1"/>
    <col min="9491" max="9491" width="12.140625" customWidth="1"/>
    <col min="9729" max="9729" width="14.28515625" customWidth="1"/>
    <col min="9730" max="9730" width="28.28515625" customWidth="1"/>
    <col min="9731" max="9731" width="13.28515625" customWidth="1"/>
    <col min="9740" max="9740" width="11.140625" customWidth="1"/>
    <col min="9741" max="9741" width="11.28515625" customWidth="1"/>
    <col min="9746" max="9746" width="11.85546875" customWidth="1"/>
    <col min="9747" max="9747" width="12.140625" customWidth="1"/>
    <col min="9985" max="9985" width="14.28515625" customWidth="1"/>
    <col min="9986" max="9986" width="28.28515625" customWidth="1"/>
    <col min="9987" max="9987" width="13.28515625" customWidth="1"/>
    <col min="9996" max="9996" width="11.140625" customWidth="1"/>
    <col min="9997" max="9997" width="11.28515625" customWidth="1"/>
    <col min="10002" max="10002" width="11.85546875" customWidth="1"/>
    <col min="10003" max="10003" width="12.140625" customWidth="1"/>
    <col min="10241" max="10241" width="14.28515625" customWidth="1"/>
    <col min="10242" max="10242" width="28.28515625" customWidth="1"/>
    <col min="10243" max="10243" width="13.28515625" customWidth="1"/>
    <col min="10252" max="10252" width="11.140625" customWidth="1"/>
    <col min="10253" max="10253" width="11.28515625" customWidth="1"/>
    <col min="10258" max="10258" width="11.85546875" customWidth="1"/>
    <col min="10259" max="10259" width="12.140625" customWidth="1"/>
    <col min="10497" max="10497" width="14.28515625" customWidth="1"/>
    <col min="10498" max="10498" width="28.28515625" customWidth="1"/>
    <col min="10499" max="10499" width="13.28515625" customWidth="1"/>
    <col min="10508" max="10508" width="11.140625" customWidth="1"/>
    <col min="10509" max="10509" width="11.28515625" customWidth="1"/>
    <col min="10514" max="10514" width="11.85546875" customWidth="1"/>
    <col min="10515" max="10515" width="12.140625" customWidth="1"/>
    <col min="10753" max="10753" width="14.28515625" customWidth="1"/>
    <col min="10754" max="10754" width="28.28515625" customWidth="1"/>
    <col min="10755" max="10755" width="13.28515625" customWidth="1"/>
    <col min="10764" max="10764" width="11.140625" customWidth="1"/>
    <col min="10765" max="10765" width="11.28515625" customWidth="1"/>
    <col min="10770" max="10770" width="11.85546875" customWidth="1"/>
    <col min="10771" max="10771" width="12.140625" customWidth="1"/>
    <col min="11009" max="11009" width="14.28515625" customWidth="1"/>
    <col min="11010" max="11010" width="28.28515625" customWidth="1"/>
    <col min="11011" max="11011" width="13.28515625" customWidth="1"/>
    <col min="11020" max="11020" width="11.140625" customWidth="1"/>
    <col min="11021" max="11021" width="11.28515625" customWidth="1"/>
    <col min="11026" max="11026" width="11.85546875" customWidth="1"/>
    <col min="11027" max="11027" width="12.140625" customWidth="1"/>
    <col min="11265" max="11265" width="14.28515625" customWidth="1"/>
    <col min="11266" max="11266" width="28.28515625" customWidth="1"/>
    <col min="11267" max="11267" width="13.28515625" customWidth="1"/>
    <col min="11276" max="11276" width="11.140625" customWidth="1"/>
    <col min="11277" max="11277" width="11.28515625" customWidth="1"/>
    <col min="11282" max="11282" width="11.85546875" customWidth="1"/>
    <col min="11283" max="11283" width="12.140625" customWidth="1"/>
    <col min="11521" max="11521" width="14.28515625" customWidth="1"/>
    <col min="11522" max="11522" width="28.28515625" customWidth="1"/>
    <col min="11523" max="11523" width="13.28515625" customWidth="1"/>
    <col min="11532" max="11532" width="11.140625" customWidth="1"/>
    <col min="11533" max="11533" width="11.28515625" customWidth="1"/>
    <col min="11538" max="11538" width="11.85546875" customWidth="1"/>
    <col min="11539" max="11539" width="12.140625" customWidth="1"/>
    <col min="11777" max="11777" width="14.28515625" customWidth="1"/>
    <col min="11778" max="11778" width="28.28515625" customWidth="1"/>
    <col min="11779" max="11779" width="13.28515625" customWidth="1"/>
    <col min="11788" max="11788" width="11.140625" customWidth="1"/>
    <col min="11789" max="11789" width="11.28515625" customWidth="1"/>
    <col min="11794" max="11794" width="11.85546875" customWidth="1"/>
    <col min="11795" max="11795" width="12.140625" customWidth="1"/>
    <col min="12033" max="12033" width="14.28515625" customWidth="1"/>
    <col min="12034" max="12034" width="28.28515625" customWidth="1"/>
    <col min="12035" max="12035" width="13.28515625" customWidth="1"/>
    <col min="12044" max="12044" width="11.140625" customWidth="1"/>
    <col min="12045" max="12045" width="11.28515625" customWidth="1"/>
    <col min="12050" max="12050" width="11.85546875" customWidth="1"/>
    <col min="12051" max="12051" width="12.140625" customWidth="1"/>
    <col min="12289" max="12289" width="14.28515625" customWidth="1"/>
    <col min="12290" max="12290" width="28.28515625" customWidth="1"/>
    <col min="12291" max="12291" width="13.28515625" customWidth="1"/>
    <col min="12300" max="12300" width="11.140625" customWidth="1"/>
    <col min="12301" max="12301" width="11.28515625" customWidth="1"/>
    <col min="12306" max="12306" width="11.85546875" customWidth="1"/>
    <col min="12307" max="12307" width="12.140625" customWidth="1"/>
    <col min="12545" max="12545" width="14.28515625" customWidth="1"/>
    <col min="12546" max="12546" width="28.28515625" customWidth="1"/>
    <col min="12547" max="12547" width="13.28515625" customWidth="1"/>
    <col min="12556" max="12556" width="11.140625" customWidth="1"/>
    <col min="12557" max="12557" width="11.28515625" customWidth="1"/>
    <col min="12562" max="12562" width="11.85546875" customWidth="1"/>
    <col min="12563" max="12563" width="12.140625" customWidth="1"/>
    <col min="12801" max="12801" width="14.28515625" customWidth="1"/>
    <col min="12802" max="12802" width="28.28515625" customWidth="1"/>
    <col min="12803" max="12803" width="13.28515625" customWidth="1"/>
    <col min="12812" max="12812" width="11.140625" customWidth="1"/>
    <col min="12813" max="12813" width="11.28515625" customWidth="1"/>
    <col min="12818" max="12818" width="11.85546875" customWidth="1"/>
    <col min="12819" max="12819" width="12.140625" customWidth="1"/>
    <col min="13057" max="13057" width="14.28515625" customWidth="1"/>
    <col min="13058" max="13058" width="28.28515625" customWidth="1"/>
    <col min="13059" max="13059" width="13.28515625" customWidth="1"/>
    <col min="13068" max="13068" width="11.140625" customWidth="1"/>
    <col min="13069" max="13069" width="11.28515625" customWidth="1"/>
    <col min="13074" max="13074" width="11.85546875" customWidth="1"/>
    <col min="13075" max="13075" width="12.140625" customWidth="1"/>
    <col min="13313" max="13313" width="14.28515625" customWidth="1"/>
    <col min="13314" max="13314" width="28.28515625" customWidth="1"/>
    <col min="13315" max="13315" width="13.28515625" customWidth="1"/>
    <col min="13324" max="13324" width="11.140625" customWidth="1"/>
    <col min="13325" max="13325" width="11.28515625" customWidth="1"/>
    <col min="13330" max="13330" width="11.85546875" customWidth="1"/>
    <col min="13331" max="13331" width="12.140625" customWidth="1"/>
    <col min="13569" max="13569" width="14.28515625" customWidth="1"/>
    <col min="13570" max="13570" width="28.28515625" customWidth="1"/>
    <col min="13571" max="13571" width="13.28515625" customWidth="1"/>
    <col min="13580" max="13580" width="11.140625" customWidth="1"/>
    <col min="13581" max="13581" width="11.28515625" customWidth="1"/>
    <col min="13586" max="13586" width="11.85546875" customWidth="1"/>
    <col min="13587" max="13587" width="12.140625" customWidth="1"/>
    <col min="13825" max="13825" width="14.28515625" customWidth="1"/>
    <col min="13826" max="13826" width="28.28515625" customWidth="1"/>
    <col min="13827" max="13827" width="13.28515625" customWidth="1"/>
    <col min="13836" max="13836" width="11.140625" customWidth="1"/>
    <col min="13837" max="13837" width="11.28515625" customWidth="1"/>
    <col min="13842" max="13842" width="11.85546875" customWidth="1"/>
    <col min="13843" max="13843" width="12.140625" customWidth="1"/>
    <col min="14081" max="14081" width="14.28515625" customWidth="1"/>
    <col min="14082" max="14082" width="28.28515625" customWidth="1"/>
    <col min="14083" max="14083" width="13.28515625" customWidth="1"/>
    <col min="14092" max="14092" width="11.140625" customWidth="1"/>
    <col min="14093" max="14093" width="11.28515625" customWidth="1"/>
    <col min="14098" max="14098" width="11.85546875" customWidth="1"/>
    <col min="14099" max="14099" width="12.140625" customWidth="1"/>
    <col min="14337" max="14337" width="14.28515625" customWidth="1"/>
    <col min="14338" max="14338" width="28.28515625" customWidth="1"/>
    <col min="14339" max="14339" width="13.28515625" customWidth="1"/>
    <col min="14348" max="14348" width="11.140625" customWidth="1"/>
    <col min="14349" max="14349" width="11.28515625" customWidth="1"/>
    <col min="14354" max="14354" width="11.85546875" customWidth="1"/>
    <col min="14355" max="14355" width="12.140625" customWidth="1"/>
    <col min="14593" max="14593" width="14.28515625" customWidth="1"/>
    <col min="14594" max="14594" width="28.28515625" customWidth="1"/>
    <col min="14595" max="14595" width="13.28515625" customWidth="1"/>
    <col min="14604" max="14604" width="11.140625" customWidth="1"/>
    <col min="14605" max="14605" width="11.28515625" customWidth="1"/>
    <col min="14610" max="14610" width="11.85546875" customWidth="1"/>
    <col min="14611" max="14611" width="12.140625" customWidth="1"/>
    <col min="14849" max="14849" width="14.28515625" customWidth="1"/>
    <col min="14850" max="14850" width="28.28515625" customWidth="1"/>
    <col min="14851" max="14851" width="13.28515625" customWidth="1"/>
    <col min="14860" max="14860" width="11.140625" customWidth="1"/>
    <col min="14861" max="14861" width="11.28515625" customWidth="1"/>
    <col min="14866" max="14866" width="11.85546875" customWidth="1"/>
    <col min="14867" max="14867" width="12.140625" customWidth="1"/>
    <col min="15105" max="15105" width="14.28515625" customWidth="1"/>
    <col min="15106" max="15106" width="28.28515625" customWidth="1"/>
    <col min="15107" max="15107" width="13.28515625" customWidth="1"/>
    <col min="15116" max="15116" width="11.140625" customWidth="1"/>
    <col min="15117" max="15117" width="11.28515625" customWidth="1"/>
    <col min="15122" max="15122" width="11.85546875" customWidth="1"/>
    <col min="15123" max="15123" width="12.140625" customWidth="1"/>
    <col min="15361" max="15361" width="14.28515625" customWidth="1"/>
    <col min="15362" max="15362" width="28.28515625" customWidth="1"/>
    <col min="15363" max="15363" width="13.28515625" customWidth="1"/>
    <col min="15372" max="15372" width="11.140625" customWidth="1"/>
    <col min="15373" max="15373" width="11.28515625" customWidth="1"/>
    <col min="15378" max="15378" width="11.85546875" customWidth="1"/>
    <col min="15379" max="15379" width="12.140625" customWidth="1"/>
    <col min="15617" max="15617" width="14.28515625" customWidth="1"/>
    <col min="15618" max="15618" width="28.28515625" customWidth="1"/>
    <col min="15619" max="15619" width="13.28515625" customWidth="1"/>
    <col min="15628" max="15628" width="11.140625" customWidth="1"/>
    <col min="15629" max="15629" width="11.28515625" customWidth="1"/>
    <col min="15634" max="15634" width="11.85546875" customWidth="1"/>
    <col min="15635" max="15635" width="12.140625" customWidth="1"/>
    <col min="15873" max="15873" width="14.28515625" customWidth="1"/>
    <col min="15874" max="15874" width="28.28515625" customWidth="1"/>
    <col min="15875" max="15875" width="13.28515625" customWidth="1"/>
    <col min="15884" max="15884" width="11.140625" customWidth="1"/>
    <col min="15885" max="15885" width="11.28515625" customWidth="1"/>
    <col min="15890" max="15890" width="11.85546875" customWidth="1"/>
    <col min="15891" max="15891" width="12.140625" customWidth="1"/>
    <col min="16129" max="16129" width="14.28515625" customWidth="1"/>
    <col min="16130" max="16130" width="28.28515625" customWidth="1"/>
    <col min="16131" max="16131" width="13.28515625" customWidth="1"/>
    <col min="16140" max="16140" width="11.140625" customWidth="1"/>
    <col min="16141" max="16141" width="11.28515625" customWidth="1"/>
    <col min="16146" max="16146" width="11.85546875" customWidth="1"/>
    <col min="16147" max="16147" width="12.140625" customWidth="1"/>
  </cols>
  <sheetData>
    <row r="1" spans="2:19" ht="15.75" thickBot="1"/>
    <row r="2" spans="2:19" ht="15.75" thickBot="1">
      <c r="B2" s="565" t="s">
        <v>1289</v>
      </c>
      <c r="C2" s="254" t="s">
        <v>690</v>
      </c>
    </row>
    <row r="3" spans="2:19">
      <c r="B3" s="256" t="s">
        <v>1290</v>
      </c>
      <c r="C3" s="566">
        <f>69.78*0.55</f>
        <v>38.379000000000005</v>
      </c>
    </row>
    <row r="4" spans="2:19">
      <c r="B4" s="259" t="s">
        <v>1291</v>
      </c>
      <c r="C4" s="566">
        <f>104.67*0.55</f>
        <v>57.568500000000007</v>
      </c>
    </row>
    <row r="5" spans="2:19">
      <c r="B5" s="259" t="s">
        <v>1292</v>
      </c>
      <c r="C5" s="566">
        <f>81.3*0.55</f>
        <v>44.715000000000003</v>
      </c>
    </row>
    <row r="6" spans="2:19">
      <c r="B6" s="259" t="s">
        <v>1293</v>
      </c>
      <c r="C6" s="566">
        <f>105.7*0.55</f>
        <v>58.135000000000005</v>
      </c>
    </row>
    <row r="7" spans="2:19">
      <c r="B7" s="259" t="s">
        <v>1294</v>
      </c>
      <c r="C7" s="566">
        <f>122.27*0.55</f>
        <v>67.248500000000007</v>
      </c>
    </row>
    <row r="8" spans="2:19">
      <c r="B8" s="259" t="s">
        <v>1295</v>
      </c>
      <c r="C8" s="566">
        <f>117.72*0.55</f>
        <v>64.746000000000009</v>
      </c>
    </row>
    <row r="9" spans="2:19">
      <c r="B9" s="259" t="s">
        <v>1296</v>
      </c>
      <c r="C9" s="566">
        <f>149.91*0.55</f>
        <v>82.450500000000005</v>
      </c>
    </row>
    <row r="10" spans="2:19">
      <c r="B10" s="259" t="s">
        <v>1297</v>
      </c>
      <c r="C10" s="566">
        <f>247.24*0.55</f>
        <v>135.98200000000003</v>
      </c>
    </row>
    <row r="11" spans="2:19">
      <c r="B11" s="259" t="s">
        <v>1298</v>
      </c>
      <c r="C11" s="566">
        <f>562.05*0.55</f>
        <v>309.1275</v>
      </c>
    </row>
    <row r="12" spans="2:19">
      <c r="B12" s="259" t="s">
        <v>1299</v>
      </c>
      <c r="C12" s="566">
        <f>695.75*0.55</f>
        <v>382.66250000000002</v>
      </c>
    </row>
    <row r="13" spans="2:19" ht="15.75" thickBot="1">
      <c r="B13" s="262" t="s">
        <v>1300</v>
      </c>
      <c r="C13" s="567">
        <f>800.65*0.55</f>
        <v>440.35750000000002</v>
      </c>
    </row>
    <row r="14" spans="2:19">
      <c r="E14" s="947" t="s">
        <v>1301</v>
      </c>
      <c r="F14" s="947"/>
    </row>
    <row r="15" spans="2:19" ht="15.75" thickBot="1"/>
    <row r="16" spans="2:19" ht="30.75" thickBot="1">
      <c r="B16" s="568" t="s">
        <v>1302</v>
      </c>
      <c r="C16" s="569" t="s">
        <v>611</v>
      </c>
      <c r="D16" s="89" t="s">
        <v>612</v>
      </c>
      <c r="E16" s="89" t="s">
        <v>613</v>
      </c>
      <c r="F16" s="89" t="s">
        <v>611</v>
      </c>
      <c r="G16" s="89" t="s">
        <v>614</v>
      </c>
      <c r="H16" s="89" t="s">
        <v>615</v>
      </c>
      <c r="I16" s="89" t="s">
        <v>613</v>
      </c>
      <c r="J16" s="89" t="s">
        <v>611</v>
      </c>
      <c r="K16" s="89" t="s">
        <v>616</v>
      </c>
      <c r="L16" s="89" t="s">
        <v>617</v>
      </c>
      <c r="M16" s="89" t="s">
        <v>1303</v>
      </c>
      <c r="N16" s="89"/>
      <c r="O16" s="89"/>
      <c r="P16" s="89"/>
      <c r="Q16" s="90"/>
      <c r="R16" s="570" t="s">
        <v>690</v>
      </c>
      <c r="S16" s="571" t="s">
        <v>42</v>
      </c>
    </row>
    <row r="17" spans="1:19">
      <c r="A17" t="s">
        <v>395</v>
      </c>
      <c r="B17" s="572" t="s">
        <v>780</v>
      </c>
      <c r="C17" s="21">
        <v>1.04</v>
      </c>
      <c r="D17" s="21">
        <v>17.25</v>
      </c>
      <c r="E17" s="573">
        <v>0.45</v>
      </c>
      <c r="F17" s="21">
        <v>0.7</v>
      </c>
      <c r="G17" s="21">
        <v>17.36</v>
      </c>
      <c r="H17" s="21">
        <v>7.46</v>
      </c>
      <c r="I17" s="573">
        <v>0.45</v>
      </c>
      <c r="J17" s="21">
        <v>1</v>
      </c>
      <c r="K17" s="574">
        <v>5.6004999999999994</v>
      </c>
      <c r="L17" s="575">
        <f>(C17*(D17-D17*E17)+F17*((G17+H17)-(G17+H17)*I17)/2+J17*K17)*1.015</f>
        <v>20.549030250000001</v>
      </c>
      <c r="M17" s="21">
        <v>25.88</v>
      </c>
      <c r="N17" s="21">
        <f>M17*0.5</f>
        <v>12.94</v>
      </c>
      <c r="O17" s="21">
        <f>F17*2</f>
        <v>1.4</v>
      </c>
      <c r="P17" s="21">
        <f>N17*O17</f>
        <v>18.116</v>
      </c>
      <c r="Q17" s="21"/>
      <c r="R17" s="576">
        <f>L17+P17</f>
        <v>38.665030250000001</v>
      </c>
      <c r="S17" s="571" t="s">
        <v>42</v>
      </c>
    </row>
    <row r="18" spans="1:19">
      <c r="A18" t="s">
        <v>395</v>
      </c>
      <c r="B18" s="65" t="s">
        <v>781</v>
      </c>
      <c r="C18" s="11">
        <v>1.04</v>
      </c>
      <c r="D18" s="11">
        <v>21.82</v>
      </c>
      <c r="E18" s="12">
        <f>E17</f>
        <v>0.45</v>
      </c>
      <c r="F18" s="11">
        <v>0.7</v>
      </c>
      <c r="G18" s="11">
        <v>21.35</v>
      </c>
      <c r="H18" s="11">
        <v>8.18</v>
      </c>
      <c r="I18" s="12">
        <f>I17</f>
        <v>0.45</v>
      </c>
      <c r="J18" s="11">
        <v>1</v>
      </c>
      <c r="K18" s="577">
        <v>5.6004999999999994</v>
      </c>
      <c r="L18" s="578">
        <f t="shared" ref="L18:L28" si="0">(C18*(D18-D18*E18)+F18*((G18+H18)-(G18+H18)*I18)/2+J18*K18)*1.015</f>
        <v>24.122555974999997</v>
      </c>
      <c r="M18" s="11">
        <v>27.42</v>
      </c>
      <c r="N18" s="11">
        <f>M18*0.5</f>
        <v>13.71</v>
      </c>
      <c r="O18" s="11">
        <f t="shared" ref="O18:O28" si="1">F18*2</f>
        <v>1.4</v>
      </c>
      <c r="P18" s="11">
        <f t="shared" ref="P18:P28" si="2">N18*O18</f>
        <v>19.193999999999999</v>
      </c>
      <c r="Q18" s="11"/>
      <c r="R18" s="579">
        <f t="shared" ref="R18:R28" si="3">L18+P18</f>
        <v>43.316555975</v>
      </c>
      <c r="S18" s="571" t="s">
        <v>42</v>
      </c>
    </row>
    <row r="19" spans="1:19">
      <c r="A19" t="s">
        <v>395</v>
      </c>
      <c r="B19" s="65" t="s">
        <v>1304</v>
      </c>
      <c r="C19" s="11">
        <v>1.04</v>
      </c>
      <c r="D19" s="11">
        <v>24.16</v>
      </c>
      <c r="E19" s="12">
        <f t="shared" ref="E19:E26" si="4">E18</f>
        <v>0.45</v>
      </c>
      <c r="F19" s="11">
        <v>0.7</v>
      </c>
      <c r="G19" s="11">
        <v>22.94</v>
      </c>
      <c r="H19" s="11">
        <v>10.039999999999999</v>
      </c>
      <c r="I19" s="12">
        <f t="shared" ref="I19:I26" si="5">I18</f>
        <v>0.45</v>
      </c>
      <c r="J19" s="11">
        <v>1</v>
      </c>
      <c r="K19" s="577">
        <v>5.6004999999999994</v>
      </c>
      <c r="L19" s="578">
        <f t="shared" si="0"/>
        <v>26.155200050000001</v>
      </c>
      <c r="M19" s="11">
        <v>30.3</v>
      </c>
      <c r="N19" s="11">
        <f>M19*0.5</f>
        <v>15.15</v>
      </c>
      <c r="O19" s="11">
        <f t="shared" si="1"/>
        <v>1.4</v>
      </c>
      <c r="P19" s="11">
        <f t="shared" si="2"/>
        <v>21.21</v>
      </c>
      <c r="Q19" s="11"/>
      <c r="R19" s="579">
        <f t="shared" si="3"/>
        <v>47.365200049999999</v>
      </c>
      <c r="S19" s="571" t="s">
        <v>42</v>
      </c>
    </row>
    <row r="20" spans="1:19">
      <c r="A20" t="s">
        <v>395</v>
      </c>
      <c r="B20" s="65" t="s">
        <v>782</v>
      </c>
      <c r="C20" s="11">
        <v>1.04</v>
      </c>
      <c r="D20" s="11">
        <v>27.91</v>
      </c>
      <c r="E20" s="12">
        <f t="shared" si="4"/>
        <v>0.45</v>
      </c>
      <c r="F20" s="11">
        <v>0.6</v>
      </c>
      <c r="G20" s="11">
        <v>28.38</v>
      </c>
      <c r="H20" s="11">
        <v>16.13</v>
      </c>
      <c r="I20" s="12">
        <f t="shared" si="5"/>
        <v>0.45</v>
      </c>
      <c r="J20" s="11">
        <v>1</v>
      </c>
      <c r="K20" s="577">
        <v>5.6004999999999994</v>
      </c>
      <c r="L20" s="578">
        <f t="shared" si="0"/>
        <v>29.342807549999996</v>
      </c>
      <c r="M20" s="11">
        <v>33.01</v>
      </c>
      <c r="N20" s="11">
        <f t="shared" ref="N20:N28" si="6">M20*0.5</f>
        <v>16.504999999999999</v>
      </c>
      <c r="O20" s="11">
        <f t="shared" si="1"/>
        <v>1.2</v>
      </c>
      <c r="P20" s="11">
        <f t="shared" si="2"/>
        <v>19.805999999999997</v>
      </c>
      <c r="Q20" s="11"/>
      <c r="R20" s="579">
        <f t="shared" si="3"/>
        <v>49.148807549999994</v>
      </c>
      <c r="S20" s="571" t="s">
        <v>42</v>
      </c>
    </row>
    <row r="21" spans="1:19">
      <c r="A21" t="s">
        <v>395</v>
      </c>
      <c r="B21" s="65" t="s">
        <v>1305</v>
      </c>
      <c r="C21" s="11">
        <v>1</v>
      </c>
      <c r="D21" s="11">
        <v>33.380000000000003</v>
      </c>
      <c r="E21" s="12">
        <f t="shared" si="4"/>
        <v>0.45</v>
      </c>
      <c r="F21" s="11">
        <v>0.6</v>
      </c>
      <c r="G21" s="11">
        <v>26.88</v>
      </c>
      <c r="H21" s="11">
        <v>16.73</v>
      </c>
      <c r="I21" s="12">
        <f t="shared" si="5"/>
        <v>0.45</v>
      </c>
      <c r="J21" s="11">
        <v>0.8</v>
      </c>
      <c r="K21" s="577">
        <v>8.8779999999999983</v>
      </c>
      <c r="L21" s="578">
        <f t="shared" si="0"/>
        <v>33.146905749999995</v>
      </c>
      <c r="M21" s="11">
        <v>36.28</v>
      </c>
      <c r="N21" s="11">
        <f t="shared" si="6"/>
        <v>18.14</v>
      </c>
      <c r="O21" s="11">
        <f t="shared" si="1"/>
        <v>1.2</v>
      </c>
      <c r="P21" s="11">
        <f t="shared" si="2"/>
        <v>21.768000000000001</v>
      </c>
      <c r="Q21" s="11"/>
      <c r="R21" s="579">
        <f t="shared" si="3"/>
        <v>54.914905749999996</v>
      </c>
      <c r="S21" s="571" t="s">
        <v>42</v>
      </c>
    </row>
    <row r="22" spans="1:19">
      <c r="A22" t="s">
        <v>395</v>
      </c>
      <c r="B22" s="65" t="s">
        <v>784</v>
      </c>
      <c r="C22" s="11">
        <v>1</v>
      </c>
      <c r="D22" s="11">
        <v>42.96</v>
      </c>
      <c r="E22" s="12">
        <f t="shared" si="4"/>
        <v>0.45</v>
      </c>
      <c r="F22" s="11">
        <v>0.6</v>
      </c>
      <c r="G22" s="11">
        <v>50.04</v>
      </c>
      <c r="H22" s="11">
        <v>24.63</v>
      </c>
      <c r="I22" s="12">
        <f t="shared" si="5"/>
        <v>0.45</v>
      </c>
      <c r="J22" s="11">
        <v>0.8</v>
      </c>
      <c r="K22" s="577">
        <v>8.8779999999999983</v>
      </c>
      <c r="L22" s="578">
        <f t="shared" si="0"/>
        <v>43.696714249999999</v>
      </c>
      <c r="M22" s="11">
        <v>37.880000000000003</v>
      </c>
      <c r="N22" s="11">
        <f t="shared" si="6"/>
        <v>18.940000000000001</v>
      </c>
      <c r="O22" s="11">
        <f t="shared" si="1"/>
        <v>1.2</v>
      </c>
      <c r="P22" s="11">
        <f t="shared" si="2"/>
        <v>22.728000000000002</v>
      </c>
      <c r="Q22" s="11"/>
      <c r="R22" s="579">
        <f t="shared" si="3"/>
        <v>66.424714249999994</v>
      </c>
      <c r="S22" s="571" t="s">
        <v>42</v>
      </c>
    </row>
    <row r="23" spans="1:19">
      <c r="A23" t="s">
        <v>395</v>
      </c>
      <c r="B23" s="65" t="s">
        <v>785</v>
      </c>
      <c r="C23" s="11">
        <v>0.93</v>
      </c>
      <c r="D23" s="11">
        <v>59.99</v>
      </c>
      <c r="E23" s="12">
        <f t="shared" si="4"/>
        <v>0.45</v>
      </c>
      <c r="F23" s="11">
        <v>0.6</v>
      </c>
      <c r="G23" s="11">
        <v>64.56</v>
      </c>
      <c r="H23" s="11">
        <v>24.75</v>
      </c>
      <c r="I23" s="12">
        <f t="shared" si="5"/>
        <v>0.45</v>
      </c>
      <c r="J23" s="11">
        <v>0.8</v>
      </c>
      <c r="K23" s="577">
        <v>13.742499999999998</v>
      </c>
      <c r="L23" s="578">
        <f t="shared" si="0"/>
        <v>57.261260524999997</v>
      </c>
      <c r="M23" s="11">
        <v>43.19</v>
      </c>
      <c r="N23" s="11">
        <f t="shared" si="6"/>
        <v>21.594999999999999</v>
      </c>
      <c r="O23" s="11">
        <f t="shared" si="1"/>
        <v>1.2</v>
      </c>
      <c r="P23" s="11">
        <f t="shared" si="2"/>
        <v>25.913999999999998</v>
      </c>
      <c r="Q23" s="11"/>
      <c r="R23" s="579">
        <f t="shared" si="3"/>
        <v>83.175260524999999</v>
      </c>
      <c r="S23" s="571" t="s">
        <v>42</v>
      </c>
    </row>
    <row r="24" spans="1:19">
      <c r="A24" t="s">
        <v>395</v>
      </c>
      <c r="B24" s="65" t="s">
        <v>1306</v>
      </c>
      <c r="C24" s="11">
        <v>0.93</v>
      </c>
      <c r="D24" s="11">
        <v>76.48</v>
      </c>
      <c r="E24" s="12">
        <f t="shared" si="4"/>
        <v>0.45</v>
      </c>
      <c r="F24" s="11">
        <v>0.6</v>
      </c>
      <c r="G24" s="11">
        <v>76.58</v>
      </c>
      <c r="H24" s="11">
        <v>37.840000000000003</v>
      </c>
      <c r="I24" s="12">
        <f t="shared" si="5"/>
        <v>0.45</v>
      </c>
      <c r="J24" s="11">
        <v>0.8</v>
      </c>
      <c r="K24" s="577">
        <v>18.974999999999998</v>
      </c>
      <c r="L24" s="578">
        <f t="shared" si="0"/>
        <v>74.27650229999999</v>
      </c>
      <c r="M24" s="11">
        <v>56.95</v>
      </c>
      <c r="N24" s="11">
        <f t="shared" si="6"/>
        <v>28.475000000000001</v>
      </c>
      <c r="O24" s="11">
        <f t="shared" si="1"/>
        <v>1.2</v>
      </c>
      <c r="P24" s="11">
        <f t="shared" si="2"/>
        <v>34.17</v>
      </c>
      <c r="Q24" s="11"/>
      <c r="R24" s="579">
        <f t="shared" si="3"/>
        <v>108.44650229999999</v>
      </c>
      <c r="S24" s="571" t="s">
        <v>42</v>
      </c>
    </row>
    <row r="25" spans="1:19">
      <c r="A25" t="s">
        <v>395</v>
      </c>
      <c r="B25" s="65" t="s">
        <v>1307</v>
      </c>
      <c r="C25" s="11">
        <v>0.84</v>
      </c>
      <c r="D25" s="11">
        <v>127.68</v>
      </c>
      <c r="E25" s="12">
        <f t="shared" si="4"/>
        <v>0.45</v>
      </c>
      <c r="F25" s="11">
        <v>0.6</v>
      </c>
      <c r="G25" s="11">
        <v>144.84</v>
      </c>
      <c r="H25" s="11">
        <v>75.8</v>
      </c>
      <c r="I25" s="12">
        <f t="shared" si="5"/>
        <v>0.45</v>
      </c>
      <c r="J25" s="11">
        <v>0.8</v>
      </c>
      <c r="K25" s="580">
        <v>31.049999999999997</v>
      </c>
      <c r="L25" s="578">
        <f t="shared" si="0"/>
        <v>122.03726639999998</v>
      </c>
      <c r="M25" s="11">
        <v>99.47</v>
      </c>
      <c r="N25" s="11">
        <f t="shared" si="6"/>
        <v>49.734999999999999</v>
      </c>
      <c r="O25" s="11">
        <f t="shared" si="1"/>
        <v>1.2</v>
      </c>
      <c r="P25" s="11">
        <f t="shared" si="2"/>
        <v>59.681999999999995</v>
      </c>
      <c r="Q25" s="11"/>
      <c r="R25" s="579">
        <f t="shared" si="3"/>
        <v>181.71926639999998</v>
      </c>
      <c r="S25" s="571" t="s">
        <v>42</v>
      </c>
    </row>
    <row r="26" spans="1:19">
      <c r="A26" t="s">
        <v>395</v>
      </c>
      <c r="B26" s="65" t="s">
        <v>1308</v>
      </c>
      <c r="C26" s="11">
        <v>0.84</v>
      </c>
      <c r="D26" s="11">
        <v>192.23</v>
      </c>
      <c r="E26" s="12">
        <f t="shared" si="4"/>
        <v>0.45</v>
      </c>
      <c r="F26" s="11">
        <v>0.5</v>
      </c>
      <c r="G26" s="11">
        <v>512.61</v>
      </c>
      <c r="H26" s="11">
        <v>324.69</v>
      </c>
      <c r="I26" s="12">
        <f t="shared" si="5"/>
        <v>0.45</v>
      </c>
      <c r="J26" s="11">
        <v>0.8</v>
      </c>
      <c r="K26" s="580">
        <v>41.169999999999995</v>
      </c>
      <c r="L26" s="578">
        <f t="shared" si="0"/>
        <v>240.42813514999997</v>
      </c>
      <c r="M26" s="11">
        <v>529.33000000000004</v>
      </c>
      <c r="N26" s="11">
        <f t="shared" si="6"/>
        <v>264.66500000000002</v>
      </c>
      <c r="O26" s="11">
        <f t="shared" si="1"/>
        <v>1</v>
      </c>
      <c r="P26" s="11">
        <f t="shared" si="2"/>
        <v>264.66500000000002</v>
      </c>
      <c r="Q26" s="11"/>
      <c r="R26" s="579">
        <f t="shared" si="3"/>
        <v>505.09313514999997</v>
      </c>
      <c r="S26" s="571" t="s">
        <v>42</v>
      </c>
    </row>
    <row r="27" spans="1:19">
      <c r="A27" t="s">
        <v>395</v>
      </c>
      <c r="B27" s="65" t="s">
        <v>1309</v>
      </c>
      <c r="C27" s="11">
        <v>0.7</v>
      </c>
      <c r="D27" s="11">
        <v>302.3</v>
      </c>
      <c r="E27" s="12">
        <f>E26</f>
        <v>0.45</v>
      </c>
      <c r="F27" s="11">
        <v>0.5</v>
      </c>
      <c r="G27" s="11">
        <v>712.9</v>
      </c>
      <c r="H27" s="11">
        <v>398.63</v>
      </c>
      <c r="I27" s="12">
        <f>I26</f>
        <v>0.45</v>
      </c>
      <c r="J27" s="11">
        <v>0.8</v>
      </c>
      <c r="K27" s="580">
        <v>48.3</v>
      </c>
      <c r="L27" s="578">
        <f t="shared" si="0"/>
        <v>312.47878812499994</v>
      </c>
      <c r="M27" s="11">
        <v>732.2</v>
      </c>
      <c r="N27" s="11">
        <f t="shared" si="6"/>
        <v>366.1</v>
      </c>
      <c r="O27" s="11">
        <f t="shared" si="1"/>
        <v>1</v>
      </c>
      <c r="P27" s="11">
        <f t="shared" si="2"/>
        <v>366.1</v>
      </c>
      <c r="Q27" s="11"/>
      <c r="R27" s="579">
        <f t="shared" si="3"/>
        <v>678.57878812499996</v>
      </c>
      <c r="S27" s="571" t="s">
        <v>42</v>
      </c>
    </row>
    <row r="28" spans="1:19" ht="15.75" thickBot="1">
      <c r="A28" t="s">
        <v>395</v>
      </c>
      <c r="B28" s="71" t="s">
        <v>1310</v>
      </c>
      <c r="C28" s="14">
        <v>0.7</v>
      </c>
      <c r="D28" s="14">
        <v>479.5</v>
      </c>
      <c r="E28" s="15">
        <f>E27</f>
        <v>0.45</v>
      </c>
      <c r="F28" s="14">
        <v>0.5</v>
      </c>
      <c r="G28" s="14">
        <v>1074.99</v>
      </c>
      <c r="H28" s="14">
        <v>555.5</v>
      </c>
      <c r="I28" s="15">
        <f>I27</f>
        <v>0.45</v>
      </c>
      <c r="J28" s="14">
        <v>0.8</v>
      </c>
      <c r="K28" s="581">
        <v>57.499999999999993</v>
      </c>
      <c r="L28" s="582">
        <f t="shared" si="0"/>
        <v>461.62187312499998</v>
      </c>
      <c r="M28" s="14">
        <v>952.2</v>
      </c>
      <c r="N28" s="14">
        <f t="shared" si="6"/>
        <v>476.1</v>
      </c>
      <c r="O28" s="14">
        <f t="shared" si="1"/>
        <v>1</v>
      </c>
      <c r="P28" s="14">
        <f t="shared" si="2"/>
        <v>476.1</v>
      </c>
      <c r="Q28" s="14"/>
      <c r="R28" s="583">
        <f t="shared" si="3"/>
        <v>937.721873125</v>
      </c>
      <c r="S28" s="571" t="s">
        <v>42</v>
      </c>
    </row>
    <row r="31" spans="1:19">
      <c r="C31" s="584">
        <v>45839</v>
      </c>
    </row>
    <row r="33" spans="1:20">
      <c r="B33" s="11" t="s">
        <v>1311</v>
      </c>
      <c r="D33" t="s">
        <v>611</v>
      </c>
      <c r="E33" t="s">
        <v>612</v>
      </c>
      <c r="F33" t="s">
        <v>613</v>
      </c>
      <c r="G33" t="s">
        <v>611</v>
      </c>
      <c r="H33" t="s">
        <v>614</v>
      </c>
      <c r="I33" t="s">
        <v>615</v>
      </c>
      <c r="J33" t="s">
        <v>613</v>
      </c>
      <c r="K33" t="s">
        <v>611</v>
      </c>
      <c r="L33" t="s">
        <v>616</v>
      </c>
      <c r="M33" s="585" t="s">
        <v>617</v>
      </c>
      <c r="N33" t="s">
        <v>1303</v>
      </c>
    </row>
    <row r="34" spans="1:20">
      <c r="A34" t="s">
        <v>1312</v>
      </c>
      <c r="B34" s="586" t="s">
        <v>1313</v>
      </c>
      <c r="C34" s="11"/>
      <c r="D34" s="11">
        <v>1.04</v>
      </c>
      <c r="E34" s="11">
        <v>48.8</v>
      </c>
      <c r="F34" s="12">
        <v>0.5</v>
      </c>
      <c r="G34" s="11">
        <v>0.7</v>
      </c>
      <c r="H34" s="11">
        <v>33.200000000000003</v>
      </c>
      <c r="I34" s="11">
        <v>59.5</v>
      </c>
      <c r="J34" s="12">
        <v>0.5</v>
      </c>
      <c r="K34" s="11">
        <v>1</v>
      </c>
      <c r="L34" s="577">
        <v>5.6004999999999994</v>
      </c>
      <c r="M34" s="587">
        <f t="shared" ref="M34:M40" si="7">(D34*(E34-E34*F34)+G34*((H34+I34)-(H34+I34)*J34)/2+K34*L34)*1.015</f>
        <v>47.906984999999992</v>
      </c>
      <c r="N34" s="588">
        <v>18.8</v>
      </c>
      <c r="O34">
        <f>N34*0.5</f>
        <v>9.4</v>
      </c>
      <c r="P34">
        <f>G34*2</f>
        <v>1.4</v>
      </c>
      <c r="Q34">
        <f t="shared" ref="Q34:Q40" si="8">O34*P34</f>
        <v>13.16</v>
      </c>
      <c r="S34" s="229">
        <f t="shared" ref="S34:S40" si="9">M34+Q34</f>
        <v>61.066984999999988</v>
      </c>
      <c r="T34" t="s">
        <v>88</v>
      </c>
    </row>
    <row r="35" spans="1:20">
      <c r="A35" t="s">
        <v>1312</v>
      </c>
      <c r="B35" s="586" t="s">
        <v>1314</v>
      </c>
      <c r="C35" s="11"/>
      <c r="D35" s="11">
        <v>1.04</v>
      </c>
      <c r="E35" s="11">
        <v>53.3</v>
      </c>
      <c r="F35" s="12">
        <v>0.5</v>
      </c>
      <c r="G35" s="11">
        <v>0.6</v>
      </c>
      <c r="H35" s="11">
        <v>47.8</v>
      </c>
      <c r="I35" s="11">
        <v>69.599999999999994</v>
      </c>
      <c r="J35" s="12">
        <v>0.5</v>
      </c>
      <c r="K35" s="11">
        <v>1</v>
      </c>
      <c r="L35" s="577">
        <v>5.6004999999999994</v>
      </c>
      <c r="M35" s="587">
        <f t="shared" si="7"/>
        <v>51.690397499999989</v>
      </c>
      <c r="N35" s="588">
        <v>20.8</v>
      </c>
      <c r="O35">
        <f t="shared" ref="O35:O40" si="10">N35*0.5</f>
        <v>10.4</v>
      </c>
      <c r="P35">
        <f t="shared" ref="P35:P40" si="11">G35*2</f>
        <v>1.2</v>
      </c>
      <c r="Q35">
        <f t="shared" si="8"/>
        <v>12.48</v>
      </c>
      <c r="S35" s="229">
        <f t="shared" si="9"/>
        <v>64.170397499999993</v>
      </c>
      <c r="T35" t="s">
        <v>88</v>
      </c>
    </row>
    <row r="36" spans="1:20">
      <c r="A36" t="s">
        <v>1312</v>
      </c>
      <c r="B36" s="586" t="s">
        <v>1315</v>
      </c>
      <c r="C36" s="11"/>
      <c r="D36" s="11">
        <v>1</v>
      </c>
      <c r="E36" s="11">
        <v>71.099999999999994</v>
      </c>
      <c r="F36" s="12">
        <v>0.5</v>
      </c>
      <c r="G36" s="11">
        <v>0.6</v>
      </c>
      <c r="H36" s="11">
        <v>52.1</v>
      </c>
      <c r="I36" s="11">
        <v>71.099999999999994</v>
      </c>
      <c r="J36" s="12">
        <v>0.5</v>
      </c>
      <c r="K36" s="11">
        <v>0.8</v>
      </c>
      <c r="L36" s="577">
        <v>8.8779999999999983</v>
      </c>
      <c r="M36" s="587">
        <f t="shared" si="7"/>
        <v>62.049385999999984</v>
      </c>
      <c r="N36" s="588">
        <v>20.8</v>
      </c>
      <c r="O36">
        <f t="shared" si="10"/>
        <v>10.4</v>
      </c>
      <c r="P36">
        <f t="shared" si="11"/>
        <v>1.2</v>
      </c>
      <c r="Q36">
        <f t="shared" si="8"/>
        <v>12.48</v>
      </c>
      <c r="S36" s="229">
        <f t="shared" si="9"/>
        <v>74.529385999999988</v>
      </c>
      <c r="T36" t="s">
        <v>88</v>
      </c>
    </row>
    <row r="37" spans="1:20">
      <c r="A37" t="s">
        <v>1312</v>
      </c>
      <c r="B37" s="586" t="s">
        <v>1316</v>
      </c>
      <c r="C37" s="11"/>
      <c r="D37" s="11">
        <v>1</v>
      </c>
      <c r="E37" s="11">
        <v>94.2</v>
      </c>
      <c r="F37" s="12">
        <v>0.5</v>
      </c>
      <c r="G37" s="11">
        <v>0.6</v>
      </c>
      <c r="H37" s="11">
        <v>83.5</v>
      </c>
      <c r="I37" s="11">
        <v>115</v>
      </c>
      <c r="J37" s="12">
        <v>0.5</v>
      </c>
      <c r="K37" s="11">
        <v>0.8</v>
      </c>
      <c r="L37" s="577">
        <v>8.8779999999999983</v>
      </c>
      <c r="M37" s="587">
        <f t="shared" si="7"/>
        <v>85.237060999999997</v>
      </c>
      <c r="N37" s="588">
        <v>23</v>
      </c>
      <c r="O37">
        <f t="shared" si="10"/>
        <v>11.5</v>
      </c>
      <c r="P37">
        <f t="shared" si="11"/>
        <v>1.2</v>
      </c>
      <c r="Q37">
        <f t="shared" si="8"/>
        <v>13.799999999999999</v>
      </c>
      <c r="S37" s="229">
        <f t="shared" si="9"/>
        <v>99.037060999999994</v>
      </c>
      <c r="T37" t="s">
        <v>88</v>
      </c>
    </row>
    <row r="38" spans="1:20">
      <c r="A38" t="s">
        <v>1312</v>
      </c>
      <c r="B38" s="586" t="s">
        <v>1317</v>
      </c>
      <c r="C38" s="11"/>
      <c r="D38" s="11">
        <v>0.93</v>
      </c>
      <c r="E38" s="11">
        <v>109</v>
      </c>
      <c r="F38" s="12">
        <v>0.5</v>
      </c>
      <c r="G38" s="11">
        <v>0.6</v>
      </c>
      <c r="H38" s="11">
        <v>88.4</v>
      </c>
      <c r="I38" s="11">
        <v>146</v>
      </c>
      <c r="J38" s="12">
        <v>0.5</v>
      </c>
      <c r="K38" s="11">
        <v>0.8</v>
      </c>
      <c r="L38" s="577">
        <v>13.742499999999998</v>
      </c>
      <c r="M38" s="587">
        <f t="shared" si="7"/>
        <v>98.291584999999984</v>
      </c>
      <c r="N38" s="588">
        <v>26.2</v>
      </c>
      <c r="O38">
        <f t="shared" si="10"/>
        <v>13.1</v>
      </c>
      <c r="P38">
        <f t="shared" si="11"/>
        <v>1.2</v>
      </c>
      <c r="Q38">
        <f t="shared" si="8"/>
        <v>15.719999999999999</v>
      </c>
      <c r="S38" s="229">
        <f t="shared" si="9"/>
        <v>114.01158499999998</v>
      </c>
      <c r="T38" t="s">
        <v>88</v>
      </c>
    </row>
    <row r="39" spans="1:20">
      <c r="A39" t="s">
        <v>1312</v>
      </c>
      <c r="B39" s="586" t="s">
        <v>1318</v>
      </c>
      <c r="C39" s="11"/>
      <c r="D39" s="11">
        <v>0.93</v>
      </c>
      <c r="E39" s="11">
        <v>141</v>
      </c>
      <c r="F39" s="12">
        <v>0.5</v>
      </c>
      <c r="G39" s="11">
        <v>0.6</v>
      </c>
      <c r="H39" s="11">
        <v>165</v>
      </c>
      <c r="I39" s="11">
        <v>181</v>
      </c>
      <c r="J39" s="12">
        <v>0.5</v>
      </c>
      <c r="K39" s="11">
        <v>0.8</v>
      </c>
      <c r="L39" s="577">
        <v>18.974999999999998</v>
      </c>
      <c r="M39" s="587">
        <f t="shared" si="7"/>
        <v>134.63467499999999</v>
      </c>
      <c r="N39" s="588">
        <v>36</v>
      </c>
      <c r="O39">
        <f t="shared" si="10"/>
        <v>18</v>
      </c>
      <c r="P39">
        <f t="shared" si="11"/>
        <v>1.2</v>
      </c>
      <c r="Q39">
        <f t="shared" si="8"/>
        <v>21.599999999999998</v>
      </c>
      <c r="S39" s="229">
        <f t="shared" si="9"/>
        <v>156.23467499999998</v>
      </c>
      <c r="T39" t="s">
        <v>88</v>
      </c>
    </row>
    <row r="40" spans="1:20">
      <c r="A40" t="s">
        <v>1312</v>
      </c>
      <c r="B40" s="586" t="s">
        <v>1319</v>
      </c>
      <c r="C40" s="11"/>
      <c r="D40" s="11">
        <v>0.84</v>
      </c>
      <c r="E40" s="11">
        <v>210</v>
      </c>
      <c r="F40" s="12">
        <v>0.5</v>
      </c>
      <c r="G40" s="11">
        <v>0.6</v>
      </c>
      <c r="H40" s="11">
        <v>468</v>
      </c>
      <c r="I40" s="11">
        <v>194</v>
      </c>
      <c r="J40" s="12">
        <v>0.5</v>
      </c>
      <c r="K40" s="11">
        <v>0.8</v>
      </c>
      <c r="L40" s="580">
        <v>31.049999999999997</v>
      </c>
      <c r="M40" s="587">
        <f t="shared" si="7"/>
        <v>215.52509999999998</v>
      </c>
      <c r="N40">
        <v>47.2</v>
      </c>
      <c r="O40">
        <f t="shared" si="10"/>
        <v>23.6</v>
      </c>
      <c r="P40">
        <f t="shared" si="11"/>
        <v>1.2</v>
      </c>
      <c r="Q40">
        <f t="shared" si="8"/>
        <v>28.32</v>
      </c>
      <c r="S40" s="229">
        <f t="shared" si="9"/>
        <v>243.84509999999997</v>
      </c>
      <c r="T40" t="s">
        <v>88</v>
      </c>
    </row>
  </sheetData>
  <mergeCells count="1">
    <mergeCell ref="E14:F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F945-D5B7-4E59-B969-79CC4A8DF8FF}">
  <dimension ref="A2:R48"/>
  <sheetViews>
    <sheetView topLeftCell="L6" workbookViewId="0">
      <selection activeCell="L21" sqref="L21"/>
    </sheetView>
  </sheetViews>
  <sheetFormatPr defaultRowHeight="15"/>
  <cols>
    <col min="1" max="1" width="4.5703125" customWidth="1"/>
    <col min="2" max="2" width="65.7109375" customWidth="1"/>
    <col min="10" max="10" width="11.5703125" customWidth="1"/>
    <col min="11" max="13" width="11.28515625" bestFit="1" customWidth="1"/>
    <col min="14" max="14" width="13" customWidth="1"/>
    <col min="18" max="18" width="13.7109375" customWidth="1"/>
    <col min="257" max="257" width="4.5703125" customWidth="1"/>
    <col min="258" max="258" width="65.7109375" customWidth="1"/>
    <col min="266" max="266" width="11.5703125" customWidth="1"/>
    <col min="267" max="269" width="11.28515625" bestFit="1" customWidth="1"/>
    <col min="270" max="270" width="13" customWidth="1"/>
    <col min="274" max="274" width="13.7109375" customWidth="1"/>
    <col min="513" max="513" width="4.5703125" customWidth="1"/>
    <col min="514" max="514" width="65.7109375" customWidth="1"/>
    <col min="522" max="522" width="11.5703125" customWidth="1"/>
    <col min="523" max="525" width="11.28515625" bestFit="1" customWidth="1"/>
    <col min="526" max="526" width="13" customWidth="1"/>
    <col min="530" max="530" width="13.7109375" customWidth="1"/>
    <col min="769" max="769" width="4.5703125" customWidth="1"/>
    <col min="770" max="770" width="65.7109375" customWidth="1"/>
    <col min="778" max="778" width="11.5703125" customWidth="1"/>
    <col min="779" max="781" width="11.28515625" bestFit="1" customWidth="1"/>
    <col min="782" max="782" width="13" customWidth="1"/>
    <col min="786" max="786" width="13.7109375" customWidth="1"/>
    <col min="1025" max="1025" width="4.5703125" customWidth="1"/>
    <col min="1026" max="1026" width="65.7109375" customWidth="1"/>
    <col min="1034" max="1034" width="11.5703125" customWidth="1"/>
    <col min="1035" max="1037" width="11.28515625" bestFit="1" customWidth="1"/>
    <col min="1038" max="1038" width="13" customWidth="1"/>
    <col min="1042" max="1042" width="13.7109375" customWidth="1"/>
    <col min="1281" max="1281" width="4.5703125" customWidth="1"/>
    <col min="1282" max="1282" width="65.7109375" customWidth="1"/>
    <col min="1290" max="1290" width="11.5703125" customWidth="1"/>
    <col min="1291" max="1293" width="11.28515625" bestFit="1" customWidth="1"/>
    <col min="1294" max="1294" width="13" customWidth="1"/>
    <col min="1298" max="1298" width="13.7109375" customWidth="1"/>
    <col min="1537" max="1537" width="4.5703125" customWidth="1"/>
    <col min="1538" max="1538" width="65.7109375" customWidth="1"/>
    <col min="1546" max="1546" width="11.5703125" customWidth="1"/>
    <col min="1547" max="1549" width="11.28515625" bestFit="1" customWidth="1"/>
    <col min="1550" max="1550" width="13" customWidth="1"/>
    <col min="1554" max="1554" width="13.7109375" customWidth="1"/>
    <col min="1793" max="1793" width="4.5703125" customWidth="1"/>
    <col min="1794" max="1794" width="65.7109375" customWidth="1"/>
    <col min="1802" max="1802" width="11.5703125" customWidth="1"/>
    <col min="1803" max="1805" width="11.28515625" bestFit="1" customWidth="1"/>
    <col min="1806" max="1806" width="13" customWidth="1"/>
    <col min="1810" max="1810" width="13.7109375" customWidth="1"/>
    <col min="2049" max="2049" width="4.5703125" customWidth="1"/>
    <col min="2050" max="2050" width="65.7109375" customWidth="1"/>
    <col min="2058" max="2058" width="11.5703125" customWidth="1"/>
    <col min="2059" max="2061" width="11.28515625" bestFit="1" customWidth="1"/>
    <col min="2062" max="2062" width="13" customWidth="1"/>
    <col min="2066" max="2066" width="13.7109375" customWidth="1"/>
    <col min="2305" max="2305" width="4.5703125" customWidth="1"/>
    <col min="2306" max="2306" width="65.7109375" customWidth="1"/>
    <col min="2314" max="2314" width="11.5703125" customWidth="1"/>
    <col min="2315" max="2317" width="11.28515625" bestFit="1" customWidth="1"/>
    <col min="2318" max="2318" width="13" customWidth="1"/>
    <col min="2322" max="2322" width="13.7109375" customWidth="1"/>
    <col min="2561" max="2561" width="4.5703125" customWidth="1"/>
    <col min="2562" max="2562" width="65.7109375" customWidth="1"/>
    <col min="2570" max="2570" width="11.5703125" customWidth="1"/>
    <col min="2571" max="2573" width="11.28515625" bestFit="1" customWidth="1"/>
    <col min="2574" max="2574" width="13" customWidth="1"/>
    <col min="2578" max="2578" width="13.7109375" customWidth="1"/>
    <col min="2817" max="2817" width="4.5703125" customWidth="1"/>
    <col min="2818" max="2818" width="65.7109375" customWidth="1"/>
    <col min="2826" max="2826" width="11.5703125" customWidth="1"/>
    <col min="2827" max="2829" width="11.28515625" bestFit="1" customWidth="1"/>
    <col min="2830" max="2830" width="13" customWidth="1"/>
    <col min="2834" max="2834" width="13.7109375" customWidth="1"/>
    <col min="3073" max="3073" width="4.5703125" customWidth="1"/>
    <col min="3074" max="3074" width="65.7109375" customWidth="1"/>
    <col min="3082" max="3082" width="11.5703125" customWidth="1"/>
    <col min="3083" max="3085" width="11.28515625" bestFit="1" customWidth="1"/>
    <col min="3086" max="3086" width="13" customWidth="1"/>
    <col min="3090" max="3090" width="13.7109375" customWidth="1"/>
    <col min="3329" max="3329" width="4.5703125" customWidth="1"/>
    <col min="3330" max="3330" width="65.7109375" customWidth="1"/>
    <col min="3338" max="3338" width="11.5703125" customWidth="1"/>
    <col min="3339" max="3341" width="11.28515625" bestFit="1" customWidth="1"/>
    <col min="3342" max="3342" width="13" customWidth="1"/>
    <col min="3346" max="3346" width="13.7109375" customWidth="1"/>
    <col min="3585" max="3585" width="4.5703125" customWidth="1"/>
    <col min="3586" max="3586" width="65.7109375" customWidth="1"/>
    <col min="3594" max="3594" width="11.5703125" customWidth="1"/>
    <col min="3595" max="3597" width="11.28515625" bestFit="1" customWidth="1"/>
    <col min="3598" max="3598" width="13" customWidth="1"/>
    <col min="3602" max="3602" width="13.7109375" customWidth="1"/>
    <col min="3841" max="3841" width="4.5703125" customWidth="1"/>
    <col min="3842" max="3842" width="65.7109375" customWidth="1"/>
    <col min="3850" max="3850" width="11.5703125" customWidth="1"/>
    <col min="3851" max="3853" width="11.28515625" bestFit="1" customWidth="1"/>
    <col min="3854" max="3854" width="13" customWidth="1"/>
    <col min="3858" max="3858" width="13.7109375" customWidth="1"/>
    <col min="4097" max="4097" width="4.5703125" customWidth="1"/>
    <col min="4098" max="4098" width="65.7109375" customWidth="1"/>
    <col min="4106" max="4106" width="11.5703125" customWidth="1"/>
    <col min="4107" max="4109" width="11.28515625" bestFit="1" customWidth="1"/>
    <col min="4110" max="4110" width="13" customWidth="1"/>
    <col min="4114" max="4114" width="13.7109375" customWidth="1"/>
    <col min="4353" max="4353" width="4.5703125" customWidth="1"/>
    <col min="4354" max="4354" width="65.7109375" customWidth="1"/>
    <col min="4362" max="4362" width="11.5703125" customWidth="1"/>
    <col min="4363" max="4365" width="11.28515625" bestFit="1" customWidth="1"/>
    <col min="4366" max="4366" width="13" customWidth="1"/>
    <col min="4370" max="4370" width="13.7109375" customWidth="1"/>
    <col min="4609" max="4609" width="4.5703125" customWidth="1"/>
    <col min="4610" max="4610" width="65.7109375" customWidth="1"/>
    <col min="4618" max="4618" width="11.5703125" customWidth="1"/>
    <col min="4619" max="4621" width="11.28515625" bestFit="1" customWidth="1"/>
    <col min="4622" max="4622" width="13" customWidth="1"/>
    <col min="4626" max="4626" width="13.7109375" customWidth="1"/>
    <col min="4865" max="4865" width="4.5703125" customWidth="1"/>
    <col min="4866" max="4866" width="65.7109375" customWidth="1"/>
    <col min="4874" max="4874" width="11.5703125" customWidth="1"/>
    <col min="4875" max="4877" width="11.28515625" bestFit="1" customWidth="1"/>
    <col min="4878" max="4878" width="13" customWidth="1"/>
    <col min="4882" max="4882" width="13.7109375" customWidth="1"/>
    <col min="5121" max="5121" width="4.5703125" customWidth="1"/>
    <col min="5122" max="5122" width="65.7109375" customWidth="1"/>
    <col min="5130" max="5130" width="11.5703125" customWidth="1"/>
    <col min="5131" max="5133" width="11.28515625" bestFit="1" customWidth="1"/>
    <col min="5134" max="5134" width="13" customWidth="1"/>
    <col min="5138" max="5138" width="13.7109375" customWidth="1"/>
    <col min="5377" max="5377" width="4.5703125" customWidth="1"/>
    <col min="5378" max="5378" width="65.7109375" customWidth="1"/>
    <col min="5386" max="5386" width="11.5703125" customWidth="1"/>
    <col min="5387" max="5389" width="11.28515625" bestFit="1" customWidth="1"/>
    <col min="5390" max="5390" width="13" customWidth="1"/>
    <col min="5394" max="5394" width="13.7109375" customWidth="1"/>
    <col min="5633" max="5633" width="4.5703125" customWidth="1"/>
    <col min="5634" max="5634" width="65.7109375" customWidth="1"/>
    <col min="5642" max="5642" width="11.5703125" customWidth="1"/>
    <col min="5643" max="5645" width="11.28515625" bestFit="1" customWidth="1"/>
    <col min="5646" max="5646" width="13" customWidth="1"/>
    <col min="5650" max="5650" width="13.7109375" customWidth="1"/>
    <col min="5889" max="5889" width="4.5703125" customWidth="1"/>
    <col min="5890" max="5890" width="65.7109375" customWidth="1"/>
    <col min="5898" max="5898" width="11.5703125" customWidth="1"/>
    <col min="5899" max="5901" width="11.28515625" bestFit="1" customWidth="1"/>
    <col min="5902" max="5902" width="13" customWidth="1"/>
    <col min="5906" max="5906" width="13.7109375" customWidth="1"/>
    <col min="6145" max="6145" width="4.5703125" customWidth="1"/>
    <col min="6146" max="6146" width="65.7109375" customWidth="1"/>
    <col min="6154" max="6154" width="11.5703125" customWidth="1"/>
    <col min="6155" max="6157" width="11.28515625" bestFit="1" customWidth="1"/>
    <col min="6158" max="6158" width="13" customWidth="1"/>
    <col min="6162" max="6162" width="13.7109375" customWidth="1"/>
    <col min="6401" max="6401" width="4.5703125" customWidth="1"/>
    <col min="6402" max="6402" width="65.7109375" customWidth="1"/>
    <col min="6410" max="6410" width="11.5703125" customWidth="1"/>
    <col min="6411" max="6413" width="11.28515625" bestFit="1" customWidth="1"/>
    <col min="6414" max="6414" width="13" customWidth="1"/>
    <col min="6418" max="6418" width="13.7109375" customWidth="1"/>
    <col min="6657" max="6657" width="4.5703125" customWidth="1"/>
    <col min="6658" max="6658" width="65.7109375" customWidth="1"/>
    <col min="6666" max="6666" width="11.5703125" customWidth="1"/>
    <col min="6667" max="6669" width="11.28515625" bestFit="1" customWidth="1"/>
    <col min="6670" max="6670" width="13" customWidth="1"/>
    <col min="6674" max="6674" width="13.7109375" customWidth="1"/>
    <col min="6913" max="6913" width="4.5703125" customWidth="1"/>
    <col min="6914" max="6914" width="65.7109375" customWidth="1"/>
    <col min="6922" max="6922" width="11.5703125" customWidth="1"/>
    <col min="6923" max="6925" width="11.28515625" bestFit="1" customWidth="1"/>
    <col min="6926" max="6926" width="13" customWidth="1"/>
    <col min="6930" max="6930" width="13.7109375" customWidth="1"/>
    <col min="7169" max="7169" width="4.5703125" customWidth="1"/>
    <col min="7170" max="7170" width="65.7109375" customWidth="1"/>
    <col min="7178" max="7178" width="11.5703125" customWidth="1"/>
    <col min="7179" max="7181" width="11.28515625" bestFit="1" customWidth="1"/>
    <col min="7182" max="7182" width="13" customWidth="1"/>
    <col min="7186" max="7186" width="13.7109375" customWidth="1"/>
    <col min="7425" max="7425" width="4.5703125" customWidth="1"/>
    <col min="7426" max="7426" width="65.7109375" customWidth="1"/>
    <col min="7434" max="7434" width="11.5703125" customWidth="1"/>
    <col min="7435" max="7437" width="11.28515625" bestFit="1" customWidth="1"/>
    <col min="7438" max="7438" width="13" customWidth="1"/>
    <col min="7442" max="7442" width="13.7109375" customWidth="1"/>
    <col min="7681" max="7681" width="4.5703125" customWidth="1"/>
    <col min="7682" max="7682" width="65.7109375" customWidth="1"/>
    <col min="7690" max="7690" width="11.5703125" customWidth="1"/>
    <col min="7691" max="7693" width="11.28515625" bestFit="1" customWidth="1"/>
    <col min="7694" max="7694" width="13" customWidth="1"/>
    <col min="7698" max="7698" width="13.7109375" customWidth="1"/>
    <col min="7937" max="7937" width="4.5703125" customWidth="1"/>
    <col min="7938" max="7938" width="65.7109375" customWidth="1"/>
    <col min="7946" max="7946" width="11.5703125" customWidth="1"/>
    <col min="7947" max="7949" width="11.28515625" bestFit="1" customWidth="1"/>
    <col min="7950" max="7950" width="13" customWidth="1"/>
    <col min="7954" max="7954" width="13.7109375" customWidth="1"/>
    <col min="8193" max="8193" width="4.5703125" customWidth="1"/>
    <col min="8194" max="8194" width="65.7109375" customWidth="1"/>
    <col min="8202" max="8202" width="11.5703125" customWidth="1"/>
    <col min="8203" max="8205" width="11.28515625" bestFit="1" customWidth="1"/>
    <col min="8206" max="8206" width="13" customWidth="1"/>
    <col min="8210" max="8210" width="13.7109375" customWidth="1"/>
    <col min="8449" max="8449" width="4.5703125" customWidth="1"/>
    <col min="8450" max="8450" width="65.7109375" customWidth="1"/>
    <col min="8458" max="8458" width="11.5703125" customWidth="1"/>
    <col min="8459" max="8461" width="11.28515625" bestFit="1" customWidth="1"/>
    <col min="8462" max="8462" width="13" customWidth="1"/>
    <col min="8466" max="8466" width="13.7109375" customWidth="1"/>
    <col min="8705" max="8705" width="4.5703125" customWidth="1"/>
    <col min="8706" max="8706" width="65.7109375" customWidth="1"/>
    <col min="8714" max="8714" width="11.5703125" customWidth="1"/>
    <col min="8715" max="8717" width="11.28515625" bestFit="1" customWidth="1"/>
    <col min="8718" max="8718" width="13" customWidth="1"/>
    <col min="8722" max="8722" width="13.7109375" customWidth="1"/>
    <col min="8961" max="8961" width="4.5703125" customWidth="1"/>
    <col min="8962" max="8962" width="65.7109375" customWidth="1"/>
    <col min="8970" max="8970" width="11.5703125" customWidth="1"/>
    <col min="8971" max="8973" width="11.28515625" bestFit="1" customWidth="1"/>
    <col min="8974" max="8974" width="13" customWidth="1"/>
    <col min="8978" max="8978" width="13.7109375" customWidth="1"/>
    <col min="9217" max="9217" width="4.5703125" customWidth="1"/>
    <col min="9218" max="9218" width="65.7109375" customWidth="1"/>
    <col min="9226" max="9226" width="11.5703125" customWidth="1"/>
    <col min="9227" max="9229" width="11.28515625" bestFit="1" customWidth="1"/>
    <col min="9230" max="9230" width="13" customWidth="1"/>
    <col min="9234" max="9234" width="13.7109375" customWidth="1"/>
    <col min="9473" max="9473" width="4.5703125" customWidth="1"/>
    <col min="9474" max="9474" width="65.7109375" customWidth="1"/>
    <col min="9482" max="9482" width="11.5703125" customWidth="1"/>
    <col min="9483" max="9485" width="11.28515625" bestFit="1" customWidth="1"/>
    <col min="9486" max="9486" width="13" customWidth="1"/>
    <col min="9490" max="9490" width="13.7109375" customWidth="1"/>
    <col min="9729" max="9729" width="4.5703125" customWidth="1"/>
    <col min="9730" max="9730" width="65.7109375" customWidth="1"/>
    <col min="9738" max="9738" width="11.5703125" customWidth="1"/>
    <col min="9739" max="9741" width="11.28515625" bestFit="1" customWidth="1"/>
    <col min="9742" max="9742" width="13" customWidth="1"/>
    <col min="9746" max="9746" width="13.7109375" customWidth="1"/>
    <col min="9985" max="9985" width="4.5703125" customWidth="1"/>
    <col min="9986" max="9986" width="65.7109375" customWidth="1"/>
    <col min="9994" max="9994" width="11.5703125" customWidth="1"/>
    <col min="9995" max="9997" width="11.28515625" bestFit="1" customWidth="1"/>
    <col min="9998" max="9998" width="13" customWidth="1"/>
    <col min="10002" max="10002" width="13.7109375" customWidth="1"/>
    <col min="10241" max="10241" width="4.5703125" customWidth="1"/>
    <col min="10242" max="10242" width="65.7109375" customWidth="1"/>
    <col min="10250" max="10250" width="11.5703125" customWidth="1"/>
    <col min="10251" max="10253" width="11.28515625" bestFit="1" customWidth="1"/>
    <col min="10254" max="10254" width="13" customWidth="1"/>
    <col min="10258" max="10258" width="13.7109375" customWidth="1"/>
    <col min="10497" max="10497" width="4.5703125" customWidth="1"/>
    <col min="10498" max="10498" width="65.7109375" customWidth="1"/>
    <col min="10506" max="10506" width="11.5703125" customWidth="1"/>
    <col min="10507" max="10509" width="11.28515625" bestFit="1" customWidth="1"/>
    <col min="10510" max="10510" width="13" customWidth="1"/>
    <col min="10514" max="10514" width="13.7109375" customWidth="1"/>
    <col min="10753" max="10753" width="4.5703125" customWidth="1"/>
    <col min="10754" max="10754" width="65.7109375" customWidth="1"/>
    <col min="10762" max="10762" width="11.5703125" customWidth="1"/>
    <col min="10763" max="10765" width="11.28515625" bestFit="1" customWidth="1"/>
    <col min="10766" max="10766" width="13" customWidth="1"/>
    <col min="10770" max="10770" width="13.7109375" customWidth="1"/>
    <col min="11009" max="11009" width="4.5703125" customWidth="1"/>
    <col min="11010" max="11010" width="65.7109375" customWidth="1"/>
    <col min="11018" max="11018" width="11.5703125" customWidth="1"/>
    <col min="11019" max="11021" width="11.28515625" bestFit="1" customWidth="1"/>
    <col min="11022" max="11022" width="13" customWidth="1"/>
    <col min="11026" max="11026" width="13.7109375" customWidth="1"/>
    <col min="11265" max="11265" width="4.5703125" customWidth="1"/>
    <col min="11266" max="11266" width="65.7109375" customWidth="1"/>
    <col min="11274" max="11274" width="11.5703125" customWidth="1"/>
    <col min="11275" max="11277" width="11.28515625" bestFit="1" customWidth="1"/>
    <col min="11278" max="11278" width="13" customWidth="1"/>
    <col min="11282" max="11282" width="13.7109375" customWidth="1"/>
    <col min="11521" max="11521" width="4.5703125" customWidth="1"/>
    <col min="11522" max="11522" width="65.7109375" customWidth="1"/>
    <col min="11530" max="11530" width="11.5703125" customWidth="1"/>
    <col min="11531" max="11533" width="11.28515625" bestFit="1" customWidth="1"/>
    <col min="11534" max="11534" width="13" customWidth="1"/>
    <col min="11538" max="11538" width="13.7109375" customWidth="1"/>
    <col min="11777" max="11777" width="4.5703125" customWidth="1"/>
    <col min="11778" max="11778" width="65.7109375" customWidth="1"/>
    <col min="11786" max="11786" width="11.5703125" customWidth="1"/>
    <col min="11787" max="11789" width="11.28515625" bestFit="1" customWidth="1"/>
    <col min="11790" max="11790" width="13" customWidth="1"/>
    <col min="11794" max="11794" width="13.7109375" customWidth="1"/>
    <col min="12033" max="12033" width="4.5703125" customWidth="1"/>
    <col min="12034" max="12034" width="65.7109375" customWidth="1"/>
    <col min="12042" max="12042" width="11.5703125" customWidth="1"/>
    <col min="12043" max="12045" width="11.28515625" bestFit="1" customWidth="1"/>
    <col min="12046" max="12046" width="13" customWidth="1"/>
    <col min="12050" max="12050" width="13.7109375" customWidth="1"/>
    <col min="12289" max="12289" width="4.5703125" customWidth="1"/>
    <col min="12290" max="12290" width="65.7109375" customWidth="1"/>
    <col min="12298" max="12298" width="11.5703125" customWidth="1"/>
    <col min="12299" max="12301" width="11.28515625" bestFit="1" customWidth="1"/>
    <col min="12302" max="12302" width="13" customWidth="1"/>
    <col min="12306" max="12306" width="13.7109375" customWidth="1"/>
    <col min="12545" max="12545" width="4.5703125" customWidth="1"/>
    <col min="12546" max="12546" width="65.7109375" customWidth="1"/>
    <col min="12554" max="12554" width="11.5703125" customWidth="1"/>
    <col min="12555" max="12557" width="11.28515625" bestFit="1" customWidth="1"/>
    <col min="12558" max="12558" width="13" customWidth="1"/>
    <col min="12562" max="12562" width="13.7109375" customWidth="1"/>
    <col min="12801" max="12801" width="4.5703125" customWidth="1"/>
    <col min="12802" max="12802" width="65.7109375" customWidth="1"/>
    <col min="12810" max="12810" width="11.5703125" customWidth="1"/>
    <col min="12811" max="12813" width="11.28515625" bestFit="1" customWidth="1"/>
    <col min="12814" max="12814" width="13" customWidth="1"/>
    <col min="12818" max="12818" width="13.7109375" customWidth="1"/>
    <col min="13057" max="13057" width="4.5703125" customWidth="1"/>
    <col min="13058" max="13058" width="65.7109375" customWidth="1"/>
    <col min="13066" max="13066" width="11.5703125" customWidth="1"/>
    <col min="13067" max="13069" width="11.28515625" bestFit="1" customWidth="1"/>
    <col min="13070" max="13070" width="13" customWidth="1"/>
    <col min="13074" max="13074" width="13.7109375" customWidth="1"/>
    <col min="13313" max="13313" width="4.5703125" customWidth="1"/>
    <col min="13314" max="13314" width="65.7109375" customWidth="1"/>
    <col min="13322" max="13322" width="11.5703125" customWidth="1"/>
    <col min="13323" max="13325" width="11.28515625" bestFit="1" customWidth="1"/>
    <col min="13326" max="13326" width="13" customWidth="1"/>
    <col min="13330" max="13330" width="13.7109375" customWidth="1"/>
    <col min="13569" max="13569" width="4.5703125" customWidth="1"/>
    <col min="13570" max="13570" width="65.7109375" customWidth="1"/>
    <col min="13578" max="13578" width="11.5703125" customWidth="1"/>
    <col min="13579" max="13581" width="11.28515625" bestFit="1" customWidth="1"/>
    <col min="13582" max="13582" width="13" customWidth="1"/>
    <col min="13586" max="13586" width="13.7109375" customWidth="1"/>
    <col min="13825" max="13825" width="4.5703125" customWidth="1"/>
    <col min="13826" max="13826" width="65.7109375" customWidth="1"/>
    <col min="13834" max="13834" width="11.5703125" customWidth="1"/>
    <col min="13835" max="13837" width="11.28515625" bestFit="1" customWidth="1"/>
    <col min="13838" max="13838" width="13" customWidth="1"/>
    <col min="13842" max="13842" width="13.7109375" customWidth="1"/>
    <col min="14081" max="14081" width="4.5703125" customWidth="1"/>
    <col min="14082" max="14082" width="65.7109375" customWidth="1"/>
    <col min="14090" max="14090" width="11.5703125" customWidth="1"/>
    <col min="14091" max="14093" width="11.28515625" bestFit="1" customWidth="1"/>
    <col min="14094" max="14094" width="13" customWidth="1"/>
    <col min="14098" max="14098" width="13.7109375" customWidth="1"/>
    <col min="14337" max="14337" width="4.5703125" customWidth="1"/>
    <col min="14338" max="14338" width="65.7109375" customWidth="1"/>
    <col min="14346" max="14346" width="11.5703125" customWidth="1"/>
    <col min="14347" max="14349" width="11.28515625" bestFit="1" customWidth="1"/>
    <col min="14350" max="14350" width="13" customWidth="1"/>
    <col min="14354" max="14354" width="13.7109375" customWidth="1"/>
    <col min="14593" max="14593" width="4.5703125" customWidth="1"/>
    <col min="14594" max="14594" width="65.7109375" customWidth="1"/>
    <col min="14602" max="14602" width="11.5703125" customWidth="1"/>
    <col min="14603" max="14605" width="11.28515625" bestFit="1" customWidth="1"/>
    <col min="14606" max="14606" width="13" customWidth="1"/>
    <col min="14610" max="14610" width="13.7109375" customWidth="1"/>
    <col min="14849" max="14849" width="4.5703125" customWidth="1"/>
    <col min="14850" max="14850" width="65.7109375" customWidth="1"/>
    <col min="14858" max="14858" width="11.5703125" customWidth="1"/>
    <col min="14859" max="14861" width="11.28515625" bestFit="1" customWidth="1"/>
    <col min="14862" max="14862" width="13" customWidth="1"/>
    <col min="14866" max="14866" width="13.7109375" customWidth="1"/>
    <col min="15105" max="15105" width="4.5703125" customWidth="1"/>
    <col min="15106" max="15106" width="65.7109375" customWidth="1"/>
    <col min="15114" max="15114" width="11.5703125" customWidth="1"/>
    <col min="15115" max="15117" width="11.28515625" bestFit="1" customWidth="1"/>
    <col min="15118" max="15118" width="13" customWidth="1"/>
    <col min="15122" max="15122" width="13.7109375" customWidth="1"/>
    <col min="15361" max="15361" width="4.5703125" customWidth="1"/>
    <col min="15362" max="15362" width="65.7109375" customWidth="1"/>
    <col min="15370" max="15370" width="11.5703125" customWidth="1"/>
    <col min="15371" max="15373" width="11.28515625" bestFit="1" customWidth="1"/>
    <col min="15374" max="15374" width="13" customWidth="1"/>
    <col min="15378" max="15378" width="13.7109375" customWidth="1"/>
    <col min="15617" max="15617" width="4.5703125" customWidth="1"/>
    <col min="15618" max="15618" width="65.7109375" customWidth="1"/>
    <col min="15626" max="15626" width="11.5703125" customWidth="1"/>
    <col min="15627" max="15629" width="11.28515625" bestFit="1" customWidth="1"/>
    <col min="15630" max="15630" width="13" customWidth="1"/>
    <col min="15634" max="15634" width="13.7109375" customWidth="1"/>
    <col min="15873" max="15873" width="4.5703125" customWidth="1"/>
    <col min="15874" max="15874" width="65.7109375" customWidth="1"/>
    <col min="15882" max="15882" width="11.5703125" customWidth="1"/>
    <col min="15883" max="15885" width="11.28515625" bestFit="1" customWidth="1"/>
    <col min="15886" max="15886" width="13" customWidth="1"/>
    <col min="15890" max="15890" width="13.7109375" customWidth="1"/>
    <col min="16129" max="16129" width="4.5703125" customWidth="1"/>
    <col min="16130" max="16130" width="65.7109375" customWidth="1"/>
    <col min="16138" max="16138" width="11.5703125" customWidth="1"/>
    <col min="16139" max="16141" width="11.28515625" bestFit="1" customWidth="1"/>
    <col min="16142" max="16142" width="13" customWidth="1"/>
    <col min="16146" max="16146" width="13.7109375" customWidth="1"/>
  </cols>
  <sheetData>
    <row r="2" spans="1:18" ht="45">
      <c r="A2" s="590"/>
      <c r="B2" s="591" t="s">
        <v>1320</v>
      </c>
      <c r="C2" s="592" t="s">
        <v>1119</v>
      </c>
      <c r="D2" s="592" t="s">
        <v>1321</v>
      </c>
      <c r="E2" s="592"/>
      <c r="F2" s="593" t="s">
        <v>1322</v>
      </c>
      <c r="G2" s="593" t="s">
        <v>1323</v>
      </c>
      <c r="H2" s="593" t="s">
        <v>1324</v>
      </c>
      <c r="I2" s="592"/>
      <c r="J2" s="594" t="s">
        <v>1325</v>
      </c>
      <c r="K2" s="594" t="s">
        <v>1326</v>
      </c>
      <c r="L2" s="594" t="s">
        <v>1327</v>
      </c>
      <c r="M2" s="594" t="s">
        <v>1328</v>
      </c>
      <c r="N2" s="594" t="s">
        <v>1329</v>
      </c>
      <c r="O2" s="594" t="s">
        <v>1330</v>
      </c>
      <c r="P2" s="594" t="s">
        <v>1331</v>
      </c>
      <c r="Q2" s="592"/>
      <c r="R2" s="595" t="s">
        <v>1084</v>
      </c>
    </row>
    <row r="3" spans="1:18">
      <c r="A3" s="502"/>
      <c r="B3" s="596" t="s">
        <v>1332</v>
      </c>
      <c r="F3" s="138"/>
      <c r="G3" s="138"/>
      <c r="H3" s="138"/>
      <c r="M3" s="136"/>
      <c r="N3" s="28"/>
      <c r="R3" s="597"/>
    </row>
    <row r="4" spans="1:18" ht="27">
      <c r="A4" s="598" t="s">
        <v>1333</v>
      </c>
      <c r="B4" s="599" t="s">
        <v>1334</v>
      </c>
      <c r="C4" s="600">
        <v>1</v>
      </c>
      <c r="D4" s="180">
        <v>0.4</v>
      </c>
      <c r="E4" s="180">
        <v>1</v>
      </c>
      <c r="F4" s="193">
        <v>0.4</v>
      </c>
      <c r="G4" s="193">
        <v>0.4</v>
      </c>
      <c r="H4" s="193">
        <v>0.4</v>
      </c>
      <c r="I4" s="180"/>
      <c r="J4" s="601">
        <f>13.48+10+3.97</f>
        <v>27.45</v>
      </c>
      <c r="K4" s="602">
        <f>25.23*4.4*0.3</f>
        <v>33.303600000000003</v>
      </c>
      <c r="L4" s="602">
        <f>38.53*4.4*0.3</f>
        <v>50.8596</v>
      </c>
      <c r="M4" s="203">
        <v>62.79</v>
      </c>
      <c r="N4" s="180">
        <v>1</v>
      </c>
      <c r="O4" s="602">
        <f>18.01*4.4*0.5</f>
        <v>39.622000000000007</v>
      </c>
      <c r="P4" s="188">
        <v>5.65</v>
      </c>
      <c r="Q4" s="180"/>
      <c r="R4" s="589">
        <f>(C4*J4+F4*K4+G4*L4+H4*M4+N4*O4+C4*P4)</f>
        <v>131.50328000000002</v>
      </c>
    </row>
    <row r="5" spans="1:18" ht="27">
      <c r="A5" s="598" t="s">
        <v>1335</v>
      </c>
      <c r="B5" s="599" t="s">
        <v>1336</v>
      </c>
      <c r="C5" s="600">
        <v>1</v>
      </c>
      <c r="D5" s="180">
        <v>0.4</v>
      </c>
      <c r="E5" s="180">
        <v>1</v>
      </c>
      <c r="F5" s="193">
        <v>0.4</v>
      </c>
      <c r="G5" s="193">
        <v>0.4</v>
      </c>
      <c r="H5" s="193">
        <v>0.4</v>
      </c>
      <c r="I5" s="180"/>
      <c r="J5" s="601">
        <f>17.73+10+4.97</f>
        <v>32.700000000000003</v>
      </c>
      <c r="K5" s="602">
        <f>28.54*4.4*0.3</f>
        <v>37.672800000000002</v>
      </c>
      <c r="L5" s="602">
        <f>37.46*4.4*0.3</f>
        <v>49.447200000000002</v>
      </c>
      <c r="M5" s="203">
        <v>62.79</v>
      </c>
      <c r="N5" s="180">
        <v>1</v>
      </c>
      <c r="O5" s="602">
        <f>18.01*4.4*0.5</f>
        <v>39.622000000000007</v>
      </c>
      <c r="P5" s="188">
        <v>6.84</v>
      </c>
      <c r="Q5" s="180"/>
      <c r="R5" s="589">
        <f>(C5*J5+F5*K5+G5*L5+H5*M5+N5*O5+C5*P5)</f>
        <v>139.126</v>
      </c>
    </row>
    <row r="6" spans="1:18" ht="27">
      <c r="A6" s="598" t="s">
        <v>1337</v>
      </c>
      <c r="B6" s="599" t="s">
        <v>1338</v>
      </c>
      <c r="C6" s="600">
        <v>1</v>
      </c>
      <c r="D6" s="180">
        <v>0.4</v>
      </c>
      <c r="E6" s="180">
        <v>1</v>
      </c>
      <c r="F6" s="193">
        <v>0.4</v>
      </c>
      <c r="G6" s="193">
        <v>0.4</v>
      </c>
      <c r="H6" s="193">
        <v>0.4</v>
      </c>
      <c r="I6" s="180"/>
      <c r="J6" s="601">
        <f>21.53+10+6.26</f>
        <v>37.79</v>
      </c>
      <c r="K6" s="602">
        <f>4.69*4.6</f>
        <v>21.574000000000002</v>
      </c>
      <c r="L6" s="602">
        <f>5.27*4.6</f>
        <v>24.241999999999997</v>
      </c>
      <c r="M6" s="203">
        <f>13.65*4.6</f>
        <v>62.79</v>
      </c>
      <c r="N6" s="180">
        <v>1</v>
      </c>
      <c r="O6" s="602">
        <f>10.64*4.6</f>
        <v>48.943999999999996</v>
      </c>
      <c r="P6" s="188">
        <v>8.42</v>
      </c>
      <c r="Q6" s="180"/>
      <c r="R6" s="589">
        <f>(C6*J6+F6*K6+G6*L6+H6*M6+N6*O6+C6*P6)</f>
        <v>138.59639999999999</v>
      </c>
    </row>
    <row r="7" spans="1:18" ht="27">
      <c r="A7" s="598" t="s">
        <v>1339</v>
      </c>
      <c r="B7" s="599" t="s">
        <v>1340</v>
      </c>
      <c r="C7" s="600">
        <v>1</v>
      </c>
      <c r="D7" s="180">
        <v>0.4</v>
      </c>
      <c r="E7" s="180">
        <v>1</v>
      </c>
      <c r="F7" s="193">
        <v>0.4</v>
      </c>
      <c r="G7" s="193">
        <v>0.4</v>
      </c>
      <c r="H7" s="193">
        <v>0.4</v>
      </c>
      <c r="I7" s="180"/>
      <c r="J7" s="601">
        <f>23.1+10+7.13</f>
        <v>40.230000000000004</v>
      </c>
      <c r="K7" s="602">
        <f>6.9*4.5</f>
        <v>31.05</v>
      </c>
      <c r="L7" s="602">
        <f>8.38*4.5</f>
        <v>37.71</v>
      </c>
      <c r="M7" s="203">
        <f>13.65*4.6</f>
        <v>62.79</v>
      </c>
      <c r="N7" s="180">
        <v>1</v>
      </c>
      <c r="O7" s="602">
        <f>7.95*4.5</f>
        <v>35.774999999999999</v>
      </c>
      <c r="P7" s="188">
        <v>8.9499999999999993</v>
      </c>
      <c r="Q7" s="180"/>
      <c r="R7" s="589">
        <f>(C7*J7+F7*K7+G7*L7+H7*M7+N7*O7+C7*P7)</f>
        <v>137.57499999999999</v>
      </c>
    </row>
    <row r="8" spans="1:18" ht="27">
      <c r="A8" s="598" t="s">
        <v>1341</v>
      </c>
      <c r="B8" s="599" t="s">
        <v>1342</v>
      </c>
      <c r="C8" s="600">
        <v>1</v>
      </c>
      <c r="D8" s="180">
        <v>0.4</v>
      </c>
      <c r="E8" s="180">
        <v>1</v>
      </c>
      <c r="F8" s="193">
        <v>0.4</v>
      </c>
      <c r="G8" s="193">
        <v>0.4</v>
      </c>
      <c r="H8" s="193">
        <v>0.4</v>
      </c>
      <c r="I8" s="180"/>
      <c r="J8" s="601">
        <f>34.1+10+8.9</f>
        <v>53</v>
      </c>
      <c r="K8" s="602">
        <f>7.68*4.5</f>
        <v>34.56</v>
      </c>
      <c r="L8" s="602">
        <f>13.4*4.5</f>
        <v>60.300000000000004</v>
      </c>
      <c r="M8" s="203">
        <f>16.59*4.6</f>
        <v>76.313999999999993</v>
      </c>
      <c r="N8" s="180">
        <v>1</v>
      </c>
      <c r="O8" s="602">
        <f>9.84*4.5</f>
        <v>44.28</v>
      </c>
      <c r="P8" s="188">
        <v>12.1</v>
      </c>
      <c r="Q8" s="180"/>
      <c r="R8" s="589">
        <f>(C8*J8+F8*K8+G8*L8+H8*M8+N8*O8+C8*P8)</f>
        <v>177.84959999999998</v>
      </c>
    </row>
    <row r="9" spans="1:18" ht="27">
      <c r="A9" s="598" t="s">
        <v>928</v>
      </c>
      <c r="B9" s="599" t="s">
        <v>1343</v>
      </c>
      <c r="C9" s="600">
        <v>1</v>
      </c>
      <c r="D9" s="180">
        <v>0.4</v>
      </c>
      <c r="E9" s="180">
        <v>1</v>
      </c>
      <c r="F9" s="193">
        <v>0.4</v>
      </c>
      <c r="G9" s="193">
        <v>0.4</v>
      </c>
      <c r="H9" s="193">
        <v>0.4</v>
      </c>
      <c r="I9" s="180"/>
      <c r="J9" s="601">
        <f>41.38+10+11.23</f>
        <v>62.61</v>
      </c>
      <c r="K9" s="602">
        <f>11.01*4.5</f>
        <v>49.545000000000002</v>
      </c>
      <c r="L9" s="602">
        <f>19.48*4.5</f>
        <v>87.66</v>
      </c>
      <c r="M9" s="603">
        <f>15.76*4.6</f>
        <v>72.495999999999995</v>
      </c>
      <c r="N9" s="180">
        <v>1</v>
      </c>
      <c r="O9" s="602">
        <f>11.38*4.5</f>
        <v>51.21</v>
      </c>
      <c r="P9" s="188">
        <v>14.1</v>
      </c>
      <c r="Q9" s="180"/>
      <c r="R9" s="589">
        <f t="shared" ref="R9:R14" si="0">(C9*J9+F9*K9+G9*L9+H9*M9+N9*O9+C9*P9)</f>
        <v>211.8004</v>
      </c>
    </row>
    <row r="10" spans="1:18" ht="27">
      <c r="A10" s="598" t="s">
        <v>929</v>
      </c>
      <c r="B10" s="599" t="s">
        <v>1344</v>
      </c>
      <c r="C10" s="600">
        <v>1</v>
      </c>
      <c r="D10" s="180">
        <v>0.4</v>
      </c>
      <c r="E10" s="180">
        <v>1</v>
      </c>
      <c r="F10" s="193">
        <v>0.4</v>
      </c>
      <c r="G10" s="193">
        <v>0.4</v>
      </c>
      <c r="H10" s="193">
        <v>0.4</v>
      </c>
      <c r="I10" s="180"/>
      <c r="J10" s="604">
        <f>49.01+10+13.12</f>
        <v>72.13</v>
      </c>
      <c r="K10" s="602">
        <f>14.73*4.5</f>
        <v>66.284999999999997</v>
      </c>
      <c r="L10" s="602">
        <f>25.6*4.5</f>
        <v>115.2</v>
      </c>
      <c r="M10" s="603">
        <f>15.8*4.6</f>
        <v>72.679999999999993</v>
      </c>
      <c r="N10" s="180">
        <v>1</v>
      </c>
      <c r="O10" s="602">
        <f>13.29*4.5</f>
        <v>59.804999999999993</v>
      </c>
      <c r="P10" s="188">
        <v>15.88</v>
      </c>
      <c r="Q10" s="180"/>
      <c r="R10" s="589">
        <f t="shared" si="0"/>
        <v>249.48099999999999</v>
      </c>
    </row>
    <row r="11" spans="1:18" ht="27">
      <c r="A11" s="598" t="s">
        <v>931</v>
      </c>
      <c r="B11" s="599" t="s">
        <v>1345</v>
      </c>
      <c r="C11" s="600">
        <v>1</v>
      </c>
      <c r="D11" s="180">
        <v>0.35</v>
      </c>
      <c r="E11" s="180">
        <v>1</v>
      </c>
      <c r="F11" s="193">
        <v>0.35</v>
      </c>
      <c r="G11" s="193">
        <v>0.35</v>
      </c>
      <c r="H11" s="193">
        <v>0.35</v>
      </c>
      <c r="I11" s="180"/>
      <c r="J11" s="601">
        <f>70.79+10+16.87</f>
        <v>97.660000000000011</v>
      </c>
      <c r="K11" s="602">
        <f>20.62*4.5</f>
        <v>92.79</v>
      </c>
      <c r="L11" s="602">
        <f>34.73*4.5</f>
        <v>156.285</v>
      </c>
      <c r="M11" s="605">
        <f>40.76*4.6</f>
        <v>187.49599999999998</v>
      </c>
      <c r="N11" s="180">
        <v>1</v>
      </c>
      <c r="O11" s="602">
        <f>18.9*4.5</f>
        <v>85.05</v>
      </c>
      <c r="P11" s="188">
        <v>23.25</v>
      </c>
      <c r="Q11" s="180"/>
      <c r="R11" s="589">
        <f t="shared" si="0"/>
        <v>358.75985000000003</v>
      </c>
    </row>
    <row r="12" spans="1:18" ht="27">
      <c r="A12" s="598" t="s">
        <v>932</v>
      </c>
      <c r="B12" s="599" t="s">
        <v>1346</v>
      </c>
      <c r="C12" s="600">
        <v>1</v>
      </c>
      <c r="D12" s="180">
        <v>0.35</v>
      </c>
      <c r="E12" s="180">
        <v>1</v>
      </c>
      <c r="F12" s="193">
        <v>0.35</v>
      </c>
      <c r="G12" s="193">
        <v>0.35</v>
      </c>
      <c r="H12" s="193">
        <v>0.35</v>
      </c>
      <c r="I12" s="180"/>
      <c r="J12" s="601">
        <f>113.26+10+20.62</f>
        <v>143.88</v>
      </c>
      <c r="K12" s="602">
        <f>47.84*4.5</f>
        <v>215.28000000000003</v>
      </c>
      <c r="L12" s="603">
        <f>76.86*4.5</f>
        <v>345.87</v>
      </c>
      <c r="M12" s="603">
        <f>35.91*4.6</f>
        <v>165.18599999999998</v>
      </c>
      <c r="N12" s="180">
        <v>1</v>
      </c>
      <c r="O12" s="188">
        <f>24.51*4.5</f>
        <v>110.295</v>
      </c>
      <c r="P12" s="188">
        <v>37.020000000000003</v>
      </c>
      <c r="Q12" s="180"/>
      <c r="R12" s="589">
        <f t="shared" si="0"/>
        <v>545.4126</v>
      </c>
    </row>
    <row r="13" spans="1:18" ht="27">
      <c r="A13" s="598" t="s">
        <v>1347</v>
      </c>
      <c r="B13" s="599" t="s">
        <v>1348</v>
      </c>
      <c r="C13" s="600">
        <v>1</v>
      </c>
      <c r="D13" s="180">
        <v>0.3</v>
      </c>
      <c r="E13" s="180">
        <v>1</v>
      </c>
      <c r="F13" s="193">
        <v>0.3</v>
      </c>
      <c r="G13" s="193">
        <v>0.3</v>
      </c>
      <c r="H13" s="193">
        <v>0.3</v>
      </c>
      <c r="I13" s="180"/>
      <c r="J13" s="601">
        <f>150.28+10+24.84</f>
        <v>185.12</v>
      </c>
      <c r="K13" s="603">
        <f>58.42*4.5</f>
        <v>262.89</v>
      </c>
      <c r="L13" s="603">
        <f>82.99*4.5</f>
        <v>373.45499999999998</v>
      </c>
      <c r="M13" s="603">
        <f>79.04*4.6</f>
        <v>363.584</v>
      </c>
      <c r="N13" s="180">
        <v>1</v>
      </c>
      <c r="O13" s="188">
        <f>32.81*4.5</f>
        <v>147.64500000000001</v>
      </c>
      <c r="P13" s="188">
        <v>45.82</v>
      </c>
      <c r="Q13" s="180"/>
      <c r="R13" s="589">
        <f t="shared" si="0"/>
        <v>678.56370000000004</v>
      </c>
    </row>
    <row r="14" spans="1:18" ht="27">
      <c r="A14" s="598" t="s">
        <v>1349</v>
      </c>
      <c r="B14" s="599" t="s">
        <v>1350</v>
      </c>
      <c r="C14" s="600">
        <v>1</v>
      </c>
      <c r="D14" s="180">
        <v>0.2</v>
      </c>
      <c r="E14" s="180">
        <v>1</v>
      </c>
      <c r="F14" s="193">
        <v>0.2</v>
      </c>
      <c r="G14" s="193">
        <v>0.2</v>
      </c>
      <c r="H14" s="193">
        <v>0.2</v>
      </c>
      <c r="I14" s="180"/>
      <c r="J14" s="601">
        <f>241.76+10+32.33</f>
        <v>284.08999999999997</v>
      </c>
      <c r="K14" s="602">
        <f>103.71*4.5</f>
        <v>466.69499999999999</v>
      </c>
      <c r="L14" s="602">
        <f>207.57*4.5</f>
        <v>934.06499999999994</v>
      </c>
      <c r="M14" s="603">
        <f>131.39*4.6</f>
        <v>604.39399999999989</v>
      </c>
      <c r="N14" s="180">
        <v>1</v>
      </c>
      <c r="O14" s="602">
        <f>47.95*4.5</f>
        <v>215.77500000000001</v>
      </c>
      <c r="P14" s="188">
        <v>70.72</v>
      </c>
      <c r="Q14" s="180"/>
      <c r="R14" s="589">
        <f t="shared" si="0"/>
        <v>971.61579999999992</v>
      </c>
    </row>
    <row r="15" spans="1:18" ht="27">
      <c r="A15" s="598" t="s">
        <v>1351</v>
      </c>
      <c r="B15" s="599" t="s">
        <v>1352</v>
      </c>
      <c r="C15" s="600">
        <v>1</v>
      </c>
      <c r="D15" s="180">
        <v>0.2</v>
      </c>
      <c r="E15" s="180">
        <v>1</v>
      </c>
      <c r="F15" s="193">
        <v>0.2</v>
      </c>
      <c r="G15" s="193">
        <v>0.2</v>
      </c>
      <c r="H15" s="193">
        <v>0.2</v>
      </c>
      <c r="I15" s="180"/>
      <c r="J15" s="601">
        <f>331.06+10+40.29</f>
        <v>381.35</v>
      </c>
      <c r="K15" s="602">
        <f>198*4.5</f>
        <v>891</v>
      </c>
      <c r="L15" s="602">
        <f>338.68*4.5</f>
        <v>1524.06</v>
      </c>
      <c r="M15" s="603">
        <f>170.16*4.6</f>
        <v>782.73599999999988</v>
      </c>
      <c r="N15" s="180">
        <v>1</v>
      </c>
      <c r="O15" s="602">
        <f>74.13*4.5</f>
        <v>333.58499999999998</v>
      </c>
      <c r="P15" s="188">
        <v>95.77</v>
      </c>
      <c r="Q15" s="180"/>
      <c r="R15" s="589">
        <f>(C15*J15+F15*K15+G15*L15+H15*M15+N15*O15+C15*P15)</f>
        <v>1450.2642000000001</v>
      </c>
    </row>
    <row r="16" spans="1:18" ht="27">
      <c r="A16" s="598" t="s">
        <v>1353</v>
      </c>
      <c r="B16" s="599" t="s">
        <v>1354</v>
      </c>
      <c r="C16" s="600">
        <v>1</v>
      </c>
      <c r="D16" s="180">
        <v>0.2</v>
      </c>
      <c r="E16" s="180">
        <v>1</v>
      </c>
      <c r="F16" s="193">
        <v>0.2</v>
      </c>
      <c r="G16" s="193">
        <v>0.2</v>
      </c>
      <c r="H16" s="193">
        <v>0.2</v>
      </c>
      <c r="I16" s="180"/>
      <c r="J16" s="601">
        <f>468.16+10+47.8</f>
        <v>525.96</v>
      </c>
      <c r="K16" s="602">
        <f>301.91*4.5</f>
        <v>1358.595</v>
      </c>
      <c r="L16" s="602">
        <f>472.18*4.5</f>
        <v>2124.81</v>
      </c>
      <c r="M16" s="603">
        <f>170.16*4.6</f>
        <v>782.73599999999988</v>
      </c>
      <c r="N16" s="180">
        <v>1</v>
      </c>
      <c r="O16" s="602">
        <f>85.29*4.5</f>
        <v>383.80500000000001</v>
      </c>
      <c r="P16" s="188">
        <v>130.91999999999999</v>
      </c>
      <c r="Q16" s="180"/>
      <c r="R16" s="589">
        <f>(C16*J16+F16*K16+G16*L16+H16*M16+N16*O16+C16*P16)</f>
        <v>1893.9132000000002</v>
      </c>
    </row>
    <row r="17" spans="1:18" ht="27">
      <c r="A17" s="598" t="s">
        <v>1355</v>
      </c>
      <c r="B17" s="599" t="s">
        <v>1356</v>
      </c>
      <c r="C17" s="600">
        <v>1</v>
      </c>
      <c r="D17" s="180">
        <v>0.2</v>
      </c>
      <c r="E17" s="180">
        <v>1</v>
      </c>
      <c r="F17" s="193">
        <v>0.2</v>
      </c>
      <c r="G17" s="193">
        <v>0.2</v>
      </c>
      <c r="H17" s="193">
        <v>0.2</v>
      </c>
      <c r="I17" s="180"/>
      <c r="J17" s="601">
        <f>535.04+10+52</f>
        <v>597.04</v>
      </c>
      <c r="K17" s="602">
        <f>1013.52*4.4</f>
        <v>4459.4880000000003</v>
      </c>
      <c r="L17" s="602">
        <f>1147.27*4.4</f>
        <v>5047.9880000000003</v>
      </c>
      <c r="M17" s="603">
        <f>250*4.6</f>
        <v>1150</v>
      </c>
      <c r="N17" s="180">
        <v>1</v>
      </c>
      <c r="O17" s="602">
        <f>271.1*4.4</f>
        <v>1192.8400000000001</v>
      </c>
      <c r="P17" s="188">
        <v>156.33000000000001</v>
      </c>
      <c r="Q17" s="180"/>
      <c r="R17" s="589">
        <f>(C17*J17+F17*K17+G17*L17+H17*M17+N17*O17+C17*P17)</f>
        <v>4077.7052000000003</v>
      </c>
    </row>
    <row r="18" spans="1:18">
      <c r="A18" s="502"/>
      <c r="B18" s="502"/>
      <c r="F18" s="138"/>
      <c r="G18" s="138"/>
      <c r="H18" s="138"/>
      <c r="K18" s="169">
        <v>1</v>
      </c>
      <c r="L18" t="s">
        <v>1357</v>
      </c>
      <c r="M18" s="136"/>
      <c r="N18" s="28"/>
      <c r="R18" s="597"/>
    </row>
    <row r="19" spans="1:18" ht="45">
      <c r="A19" s="590"/>
      <c r="B19" s="591" t="s">
        <v>1358</v>
      </c>
      <c r="C19" s="592" t="s">
        <v>1119</v>
      </c>
      <c r="D19" s="592" t="s">
        <v>1321</v>
      </c>
      <c r="E19" s="592"/>
      <c r="F19" s="593" t="s">
        <v>1322</v>
      </c>
      <c r="G19" s="593" t="s">
        <v>1323</v>
      </c>
      <c r="H19" s="593" t="s">
        <v>1324</v>
      </c>
      <c r="I19" s="592"/>
      <c r="J19" s="594" t="s">
        <v>1359</v>
      </c>
      <c r="K19" s="594" t="s">
        <v>1326</v>
      </c>
      <c r="L19" s="594" t="s">
        <v>1327</v>
      </c>
      <c r="M19" s="594" t="s">
        <v>1328</v>
      </c>
      <c r="N19" s="594" t="s">
        <v>1329</v>
      </c>
      <c r="O19" s="594" t="s">
        <v>1330</v>
      </c>
      <c r="P19" s="594" t="s">
        <v>1331</v>
      </c>
      <c r="Q19" s="592"/>
      <c r="R19" s="595" t="s">
        <v>1084</v>
      </c>
    </row>
    <row r="20" spans="1:18">
      <c r="A20" s="502"/>
      <c r="B20" s="596" t="s">
        <v>1332</v>
      </c>
      <c r="F20" s="138"/>
      <c r="G20" s="138"/>
      <c r="H20" s="138"/>
      <c r="M20" s="136"/>
      <c r="N20" s="28"/>
      <c r="R20" s="597"/>
    </row>
    <row r="21" spans="1:18" ht="27">
      <c r="A21" s="598" t="s">
        <v>1333</v>
      </c>
      <c r="B21" s="599" t="s">
        <v>1334</v>
      </c>
      <c r="C21" s="600">
        <v>1</v>
      </c>
      <c r="D21" s="180">
        <v>0.4</v>
      </c>
      <c r="E21" s="180">
        <v>1</v>
      </c>
      <c r="F21" s="193">
        <v>0.4</v>
      </c>
      <c r="G21" s="193">
        <v>0.4</v>
      </c>
      <c r="H21" s="193">
        <v>0.4</v>
      </c>
      <c r="I21" s="180"/>
      <c r="J21" s="601">
        <f>8.61+10+3.97</f>
        <v>22.58</v>
      </c>
      <c r="K21" s="602">
        <f>25.23*4.4*0.3</f>
        <v>33.303600000000003</v>
      </c>
      <c r="L21" s="602">
        <f>38.53*4.4*0.3</f>
        <v>50.8596</v>
      </c>
      <c r="M21" s="203">
        <v>62.79</v>
      </c>
      <c r="N21" s="180">
        <v>1</v>
      </c>
      <c r="O21" s="602">
        <f>18.01*4.4*0.5</f>
        <v>39.622000000000007</v>
      </c>
      <c r="P21" s="188">
        <v>4.33</v>
      </c>
      <c r="Q21" s="180"/>
      <c r="R21" s="589">
        <f>(C21*J21+F21*K21+G21*L21+H21*M21+N21*O21+C21*P21)</f>
        <v>125.31328000000001</v>
      </c>
    </row>
    <row r="22" spans="1:18" ht="27">
      <c r="A22" s="598" t="s">
        <v>1335</v>
      </c>
      <c r="B22" s="599" t="s">
        <v>1336</v>
      </c>
      <c r="C22" s="600">
        <v>1</v>
      </c>
      <c r="D22" s="180">
        <v>0.4</v>
      </c>
      <c r="E22" s="180">
        <v>1</v>
      </c>
      <c r="F22" s="193">
        <v>0.4</v>
      </c>
      <c r="G22" s="193">
        <v>0.4</v>
      </c>
      <c r="H22" s="193">
        <v>0.4</v>
      </c>
      <c r="I22" s="180"/>
      <c r="J22" s="601">
        <f>11.78+10+4.97</f>
        <v>26.75</v>
      </c>
      <c r="K22" s="602">
        <f>28.54*4.4*0.3</f>
        <v>37.672800000000002</v>
      </c>
      <c r="L22" s="602">
        <f>37.46*4.4*0.3</f>
        <v>49.447200000000002</v>
      </c>
      <c r="M22" s="203">
        <v>62.79</v>
      </c>
      <c r="N22" s="180">
        <v>1</v>
      </c>
      <c r="O22" s="602">
        <f>18.01*4.4*0.5</f>
        <v>39.622000000000007</v>
      </c>
      <c r="P22" s="188">
        <v>5.23</v>
      </c>
      <c r="Q22" s="180"/>
      <c r="R22" s="589">
        <f>(C22*J22+F22*K22+G22*L22+H22*M22+N22*O22+C22*P22)</f>
        <v>131.566</v>
      </c>
    </row>
    <row r="23" spans="1:18" ht="27">
      <c r="A23" s="598" t="s">
        <v>1337</v>
      </c>
      <c r="B23" s="599" t="s">
        <v>1338</v>
      </c>
      <c r="C23" s="600">
        <v>1</v>
      </c>
      <c r="D23" s="180">
        <v>0.4</v>
      </c>
      <c r="E23" s="180">
        <v>1</v>
      </c>
      <c r="F23" s="193">
        <v>0.4</v>
      </c>
      <c r="G23" s="193">
        <v>0.4</v>
      </c>
      <c r="H23" s="193">
        <v>0.4</v>
      </c>
      <c r="I23" s="180"/>
      <c r="J23" s="601">
        <f>13.6+10+6.26</f>
        <v>29.86</v>
      </c>
      <c r="K23" s="602">
        <f>4.69*4.6</f>
        <v>21.574000000000002</v>
      </c>
      <c r="L23" s="602">
        <f>5.27*4.6</f>
        <v>24.241999999999997</v>
      </c>
      <c r="M23" s="203">
        <f>13.65*4.6</f>
        <v>62.79</v>
      </c>
      <c r="N23" s="180">
        <v>1</v>
      </c>
      <c r="O23" s="602">
        <f>10.64*4.6</f>
        <v>48.943999999999996</v>
      </c>
      <c r="P23" s="188">
        <v>6.27</v>
      </c>
      <c r="Q23" s="180"/>
      <c r="R23" s="589">
        <f>(C23*J23+F23*K23+G23*L23+H23*M23+N23*O23+C23*P23)</f>
        <v>128.5164</v>
      </c>
    </row>
    <row r="24" spans="1:18" ht="27">
      <c r="A24" s="598" t="s">
        <v>1339</v>
      </c>
      <c r="B24" s="599" t="s">
        <v>1340</v>
      </c>
      <c r="C24" s="600">
        <v>1</v>
      </c>
      <c r="D24" s="180">
        <v>0.4</v>
      </c>
      <c r="E24" s="180">
        <v>1</v>
      </c>
      <c r="F24" s="193">
        <v>0.4</v>
      </c>
      <c r="G24" s="193">
        <v>0.4</v>
      </c>
      <c r="H24" s="193">
        <v>0.4</v>
      </c>
      <c r="I24" s="180"/>
      <c r="J24" s="601">
        <f>16.28+10+7.13</f>
        <v>33.410000000000004</v>
      </c>
      <c r="K24" s="602">
        <f>6.9*4.5</f>
        <v>31.05</v>
      </c>
      <c r="L24" s="602">
        <f>8.38*4.5</f>
        <v>37.71</v>
      </c>
      <c r="M24" s="203">
        <f>13.65*4.6</f>
        <v>62.79</v>
      </c>
      <c r="N24" s="180">
        <v>1</v>
      </c>
      <c r="O24" s="602">
        <f>7.95*4.5</f>
        <v>35.774999999999999</v>
      </c>
      <c r="P24" s="188">
        <v>6.61</v>
      </c>
      <c r="Q24" s="180"/>
      <c r="R24" s="589">
        <f>(C24*J24+F24*K24+G24*L24+H24*M24+N24*O24+C24*P24)</f>
        <v>128.41500000000002</v>
      </c>
    </row>
    <row r="25" spans="1:18" ht="27">
      <c r="A25" s="598" t="s">
        <v>1341</v>
      </c>
      <c r="B25" s="599" t="s">
        <v>1342</v>
      </c>
      <c r="C25" s="600">
        <v>1</v>
      </c>
      <c r="D25" s="180">
        <v>0.4</v>
      </c>
      <c r="E25" s="180">
        <v>1</v>
      </c>
      <c r="F25" s="193">
        <v>0.4</v>
      </c>
      <c r="G25" s="193">
        <v>0.4</v>
      </c>
      <c r="H25" s="193">
        <v>0.4</v>
      </c>
      <c r="I25" s="180"/>
      <c r="J25" s="601">
        <f>23.1+10+8.9</f>
        <v>42</v>
      </c>
      <c r="K25" s="602">
        <f>7.68*4.5</f>
        <v>34.56</v>
      </c>
      <c r="L25" s="602">
        <f>13.4*4.5</f>
        <v>60.300000000000004</v>
      </c>
      <c r="M25" s="203">
        <f>16.59*4.6</f>
        <v>76.313999999999993</v>
      </c>
      <c r="N25" s="180">
        <v>1</v>
      </c>
      <c r="O25" s="602">
        <f>9.84*4.5</f>
        <v>44.28</v>
      </c>
      <c r="P25" s="188">
        <v>8.69</v>
      </c>
      <c r="Q25" s="180"/>
      <c r="R25" s="589">
        <f>(C25*J25+F25*K25+G25*L25+H25*M25+N25*O25+C25*P25)</f>
        <v>163.43959999999998</v>
      </c>
    </row>
    <row r="26" spans="1:18" ht="27">
      <c r="A26" s="598" t="s">
        <v>928</v>
      </c>
      <c r="B26" s="599" t="s">
        <v>1343</v>
      </c>
      <c r="C26" s="600">
        <v>1</v>
      </c>
      <c r="D26" s="180">
        <v>0.4</v>
      </c>
      <c r="E26" s="180">
        <v>1</v>
      </c>
      <c r="F26" s="193">
        <v>0.4</v>
      </c>
      <c r="G26" s="193">
        <v>0.4</v>
      </c>
      <c r="H26" s="193">
        <v>0.4</v>
      </c>
      <c r="I26" s="180"/>
      <c r="J26" s="601">
        <f>27.23+10+11.23</f>
        <v>48.460000000000008</v>
      </c>
      <c r="K26" s="602">
        <f>11.01*4.5</f>
        <v>49.545000000000002</v>
      </c>
      <c r="L26" s="602">
        <f>19.48*4.5</f>
        <v>87.66</v>
      </c>
      <c r="M26" s="603">
        <f>15.76*4.6</f>
        <v>72.495999999999995</v>
      </c>
      <c r="N26" s="180">
        <v>1</v>
      </c>
      <c r="O26" s="602">
        <f>11.38*4.5</f>
        <v>51.21</v>
      </c>
      <c r="P26" s="188">
        <v>10.24</v>
      </c>
      <c r="Q26" s="180"/>
      <c r="R26" s="589">
        <f t="shared" ref="R26:R31" si="1">(C26*J26+F26*K26+G26*L26+H26*M26+N26*O26+C26*P26)</f>
        <v>193.79040000000003</v>
      </c>
    </row>
    <row r="27" spans="1:18" ht="27">
      <c r="A27" s="598" t="s">
        <v>929</v>
      </c>
      <c r="B27" s="599" t="s">
        <v>1344</v>
      </c>
      <c r="C27" s="600">
        <v>1</v>
      </c>
      <c r="D27" s="180">
        <v>0.4</v>
      </c>
      <c r="E27" s="180">
        <v>1</v>
      </c>
      <c r="F27" s="193">
        <v>0.4</v>
      </c>
      <c r="G27" s="193">
        <v>0.4</v>
      </c>
      <c r="H27" s="193">
        <v>0.4</v>
      </c>
      <c r="I27" s="180"/>
      <c r="J27" s="604">
        <f>37.03+10+13.12</f>
        <v>60.15</v>
      </c>
      <c r="K27" s="602">
        <f>14.73*4.5</f>
        <v>66.284999999999997</v>
      </c>
      <c r="L27" s="602">
        <f>25.6*4.5</f>
        <v>115.2</v>
      </c>
      <c r="M27" s="603">
        <f>15.8*4.6</f>
        <v>72.679999999999993</v>
      </c>
      <c r="N27" s="180">
        <v>1</v>
      </c>
      <c r="O27" s="602">
        <f>13.29*4.5</f>
        <v>59.804999999999993</v>
      </c>
      <c r="P27" s="188">
        <v>12.31</v>
      </c>
      <c r="Q27" s="180"/>
      <c r="R27" s="589">
        <f t="shared" si="1"/>
        <v>233.93099999999998</v>
      </c>
    </row>
    <row r="28" spans="1:18" ht="27">
      <c r="A28" s="598" t="s">
        <v>931</v>
      </c>
      <c r="B28" s="599" t="s">
        <v>1345</v>
      </c>
      <c r="C28" s="600">
        <v>1</v>
      </c>
      <c r="D28" s="180">
        <v>0.35</v>
      </c>
      <c r="E28" s="180">
        <v>1</v>
      </c>
      <c r="F28" s="193">
        <v>0.35</v>
      </c>
      <c r="G28" s="193">
        <v>0.35</v>
      </c>
      <c r="H28" s="193">
        <v>0.35</v>
      </c>
      <c r="I28" s="180"/>
      <c r="J28" s="601">
        <f>56.63+10+16.87</f>
        <v>83.5</v>
      </c>
      <c r="K28" s="602">
        <f>20.62*4.5</f>
        <v>92.79</v>
      </c>
      <c r="L28" s="602">
        <f>34.73*4.5</f>
        <v>156.285</v>
      </c>
      <c r="M28" s="605">
        <f>40.76*4.6</f>
        <v>187.49599999999998</v>
      </c>
      <c r="N28" s="180">
        <v>1</v>
      </c>
      <c r="O28" s="602">
        <f>18.9*4.5</f>
        <v>85.05</v>
      </c>
      <c r="P28" s="188">
        <v>19.04</v>
      </c>
      <c r="Q28" s="180"/>
      <c r="R28" s="589">
        <f t="shared" si="1"/>
        <v>340.38985000000002</v>
      </c>
    </row>
    <row r="29" spans="1:18" ht="27">
      <c r="A29" s="598" t="s">
        <v>932</v>
      </c>
      <c r="B29" s="599" t="s">
        <v>1346</v>
      </c>
      <c r="C29" s="600">
        <v>1</v>
      </c>
      <c r="D29" s="180">
        <v>0.35</v>
      </c>
      <c r="E29" s="180">
        <v>1</v>
      </c>
      <c r="F29" s="193">
        <v>0.35</v>
      </c>
      <c r="G29" s="193">
        <v>0.35</v>
      </c>
      <c r="H29" s="193">
        <v>0.35</v>
      </c>
      <c r="I29" s="180"/>
      <c r="J29" s="601">
        <f>80.59+10+20.62</f>
        <v>111.21000000000001</v>
      </c>
      <c r="K29" s="602">
        <f>47.84*4.5</f>
        <v>215.28000000000003</v>
      </c>
      <c r="L29" s="603">
        <f>76.86*4.5</f>
        <v>345.87</v>
      </c>
      <c r="M29" s="603">
        <f>35.91*4.6</f>
        <v>165.18599999999998</v>
      </c>
      <c r="N29" s="180">
        <v>1</v>
      </c>
      <c r="O29" s="188">
        <f>24.51*4.5</f>
        <v>110.295</v>
      </c>
      <c r="P29" s="188">
        <v>29.18</v>
      </c>
      <c r="Q29" s="180"/>
      <c r="R29" s="589">
        <f t="shared" si="1"/>
        <v>504.90259999999995</v>
      </c>
    </row>
    <row r="30" spans="1:18" ht="27">
      <c r="A30" s="598" t="s">
        <v>1347</v>
      </c>
      <c r="B30" s="599" t="s">
        <v>1348</v>
      </c>
      <c r="C30" s="600">
        <v>1</v>
      </c>
      <c r="D30" s="180">
        <v>0.3</v>
      </c>
      <c r="E30" s="180">
        <v>1</v>
      </c>
      <c r="F30" s="193">
        <v>0.3</v>
      </c>
      <c r="G30" s="193">
        <v>0.3</v>
      </c>
      <c r="H30" s="193">
        <v>0.3</v>
      </c>
      <c r="I30" s="180"/>
      <c r="J30" s="601">
        <f>106.72+10+24.84</f>
        <v>141.56</v>
      </c>
      <c r="K30" s="603">
        <f>58.42*4.5</f>
        <v>262.89</v>
      </c>
      <c r="L30" s="603">
        <f>82.99*4.5</f>
        <v>373.45499999999998</v>
      </c>
      <c r="M30" s="603">
        <f>79.04*4.6</f>
        <v>363.584</v>
      </c>
      <c r="N30" s="180">
        <v>1</v>
      </c>
      <c r="O30" s="188">
        <f>32.81*4.5</f>
        <v>147.64500000000001</v>
      </c>
      <c r="P30" s="188">
        <v>35.369999999999997</v>
      </c>
      <c r="Q30" s="180"/>
      <c r="R30" s="589">
        <f t="shared" si="1"/>
        <v>624.55369999999994</v>
      </c>
    </row>
    <row r="31" spans="1:18" ht="27">
      <c r="A31" s="598" t="s">
        <v>1349</v>
      </c>
      <c r="B31" s="599" t="s">
        <v>1350</v>
      </c>
      <c r="C31" s="600">
        <v>1</v>
      </c>
      <c r="D31" s="180">
        <v>0.2</v>
      </c>
      <c r="E31" s="180">
        <v>1</v>
      </c>
      <c r="F31" s="193">
        <v>0.2</v>
      </c>
      <c r="G31" s="193">
        <v>0.2</v>
      </c>
      <c r="H31" s="193">
        <v>0.2</v>
      </c>
      <c r="I31" s="180"/>
      <c r="J31" s="601">
        <f>124.15+10+32.33</f>
        <v>166.48000000000002</v>
      </c>
      <c r="K31" s="602">
        <f>103.71*4.5</f>
        <v>466.69499999999999</v>
      </c>
      <c r="L31" s="602">
        <f>207.57*4.5</f>
        <v>934.06499999999994</v>
      </c>
      <c r="M31" s="603">
        <f>131.39*4.6</f>
        <v>604.39399999999989</v>
      </c>
      <c r="N31" s="180">
        <v>1</v>
      </c>
      <c r="O31" s="602">
        <f>47.95*4.5</f>
        <v>215.77500000000001</v>
      </c>
      <c r="P31" s="188">
        <v>41.59</v>
      </c>
      <c r="Q31" s="180"/>
      <c r="R31" s="589">
        <f t="shared" si="1"/>
        <v>824.87580000000003</v>
      </c>
    </row>
    <row r="32" spans="1:18" ht="27">
      <c r="A32" s="598" t="s">
        <v>1351</v>
      </c>
      <c r="B32" s="599" t="s">
        <v>1352</v>
      </c>
      <c r="C32" s="600">
        <v>1</v>
      </c>
      <c r="D32" s="180">
        <v>0.2</v>
      </c>
      <c r="E32" s="180">
        <v>1</v>
      </c>
      <c r="F32" s="193">
        <v>0.2</v>
      </c>
      <c r="G32" s="193">
        <v>0.2</v>
      </c>
      <c r="H32" s="193">
        <v>0.2</v>
      </c>
      <c r="I32" s="180"/>
      <c r="J32" s="601">
        <f>254.83+10+40.29</f>
        <v>305.12000000000006</v>
      </c>
      <c r="K32" s="602">
        <f>198*4.5</f>
        <v>891</v>
      </c>
      <c r="L32" s="602">
        <f>338.68*4.5</f>
        <v>1524.06</v>
      </c>
      <c r="M32" s="603">
        <f>170.16*4.6</f>
        <v>782.73599999999988</v>
      </c>
      <c r="N32" s="180">
        <v>1</v>
      </c>
      <c r="O32" s="602">
        <f>74.13*4.5</f>
        <v>333.58499999999998</v>
      </c>
      <c r="P32" s="188">
        <v>75.75</v>
      </c>
      <c r="Q32" s="180"/>
      <c r="R32" s="589">
        <f>(C32*J32+F32*K32+G32*L32+H32*M32+N32*O32+C32*P32)</f>
        <v>1354.0142000000001</v>
      </c>
    </row>
    <row r="33" spans="1:18" ht="27">
      <c r="A33" s="598" t="s">
        <v>1353</v>
      </c>
      <c r="B33" s="599" t="s">
        <v>1354</v>
      </c>
      <c r="C33" s="600">
        <v>1</v>
      </c>
      <c r="D33" s="180">
        <v>0.2</v>
      </c>
      <c r="E33" s="180">
        <v>1</v>
      </c>
      <c r="F33" s="193">
        <v>0.2</v>
      </c>
      <c r="G33" s="193">
        <v>0.2</v>
      </c>
      <c r="H33" s="193">
        <v>0.2</v>
      </c>
      <c r="I33" s="180"/>
      <c r="J33" s="601">
        <f>296.78+10+47.8</f>
        <v>354.58</v>
      </c>
      <c r="K33" s="602">
        <f>301.91*4.5</f>
        <v>1358.595</v>
      </c>
      <c r="L33" s="602">
        <f>472.18*4.5</f>
        <v>2124.81</v>
      </c>
      <c r="M33" s="603">
        <f>170.16*4.6</f>
        <v>782.73599999999988</v>
      </c>
      <c r="N33" s="180">
        <v>1</v>
      </c>
      <c r="O33" s="602">
        <f>85.29*4.5</f>
        <v>383.80500000000001</v>
      </c>
      <c r="P33" s="188">
        <v>87.36</v>
      </c>
      <c r="Q33" s="180"/>
      <c r="R33" s="589">
        <f>(C33*J33+F33*K33+G33*L33+H33*M33+N33*O33+C33*P33)</f>
        <v>1678.9731999999999</v>
      </c>
    </row>
    <row r="34" spans="1:18" ht="27">
      <c r="A34" s="598" t="s">
        <v>1355</v>
      </c>
      <c r="B34" s="599" t="s">
        <v>1356</v>
      </c>
      <c r="C34" s="600">
        <v>1</v>
      </c>
      <c r="D34" s="180">
        <v>0.2</v>
      </c>
      <c r="E34" s="180">
        <v>1</v>
      </c>
      <c r="F34" s="193">
        <v>0.2</v>
      </c>
      <c r="G34" s="193">
        <v>0.2</v>
      </c>
      <c r="H34" s="193">
        <v>0.2</v>
      </c>
      <c r="I34" s="180"/>
      <c r="J34" s="601">
        <f>349.03+10+52</f>
        <v>411.03</v>
      </c>
      <c r="K34" s="602">
        <f>1013.52*4.4</f>
        <v>4459.4880000000003</v>
      </c>
      <c r="L34" s="602">
        <f>1147.27*4.4</f>
        <v>5047.9880000000003</v>
      </c>
      <c r="M34" s="603">
        <f>250*4.6</f>
        <v>1150</v>
      </c>
      <c r="N34" s="180">
        <v>1</v>
      </c>
      <c r="O34" s="602">
        <f>271.1*4.4</f>
        <v>1192.8400000000001</v>
      </c>
      <c r="P34" s="188">
        <v>111.68</v>
      </c>
      <c r="Q34" s="180"/>
      <c r="R34" s="589">
        <f>(C34*J34+F34*K34+G34*L34+H34*M34+N34*O34+C34*P34)</f>
        <v>3847.0452</v>
      </c>
    </row>
    <row r="35" spans="1:18">
      <c r="A35" s="502"/>
      <c r="B35" s="502"/>
      <c r="F35" s="138"/>
      <c r="G35" s="138"/>
      <c r="H35" s="138"/>
      <c r="K35" s="169">
        <v>1</v>
      </c>
      <c r="L35" t="s">
        <v>1357</v>
      </c>
      <c r="M35" s="136"/>
      <c r="N35" s="28"/>
      <c r="R35" s="597"/>
    </row>
    <row r="36" spans="1:18" ht="45">
      <c r="A36" s="590"/>
      <c r="B36" s="591" t="s">
        <v>1360</v>
      </c>
      <c r="C36" s="592" t="s">
        <v>1119</v>
      </c>
      <c r="D36" s="592" t="s">
        <v>1321</v>
      </c>
      <c r="E36" s="592"/>
      <c r="F36" s="593" t="s">
        <v>1322</v>
      </c>
      <c r="G36" s="593" t="s">
        <v>1323</v>
      </c>
      <c r="H36" s="593" t="s">
        <v>1324</v>
      </c>
      <c r="I36" s="592"/>
      <c r="J36" s="594" t="s">
        <v>1361</v>
      </c>
      <c r="K36" s="594" t="s">
        <v>1326</v>
      </c>
      <c r="L36" s="594" t="s">
        <v>1327</v>
      </c>
      <c r="M36" s="594" t="s">
        <v>1328</v>
      </c>
      <c r="N36" s="594" t="s">
        <v>1329</v>
      </c>
      <c r="O36" s="594" t="s">
        <v>1330</v>
      </c>
      <c r="P36" s="594" t="s">
        <v>1331</v>
      </c>
      <c r="Q36" s="592"/>
      <c r="R36" s="595" t="s">
        <v>1084</v>
      </c>
    </row>
    <row r="37" spans="1:18">
      <c r="A37" s="502"/>
      <c r="B37" s="596" t="s">
        <v>1332</v>
      </c>
      <c r="F37" s="138"/>
      <c r="G37" s="138"/>
      <c r="H37" s="138"/>
      <c r="M37" s="136"/>
      <c r="N37" s="28"/>
      <c r="R37" s="597"/>
    </row>
    <row r="38" spans="1:18" ht="27">
      <c r="A38" s="598" t="s">
        <v>1337</v>
      </c>
      <c r="B38" s="599" t="s">
        <v>1338</v>
      </c>
      <c r="C38" s="600">
        <v>1</v>
      </c>
      <c r="D38" s="180">
        <v>0.4</v>
      </c>
      <c r="E38" s="180">
        <v>1</v>
      </c>
      <c r="F38" s="193">
        <v>0.4</v>
      </c>
      <c r="G38" s="193">
        <v>0.4</v>
      </c>
      <c r="H38" s="193">
        <v>0.4</v>
      </c>
      <c r="I38" s="180"/>
      <c r="J38" s="601">
        <f>13.6+1.46+10</f>
        <v>25.06</v>
      </c>
      <c r="K38" s="602">
        <f>4.69*4.6</f>
        <v>21.574000000000002</v>
      </c>
      <c r="L38" s="602">
        <f>5.27*4.6</f>
        <v>24.241999999999997</v>
      </c>
      <c r="M38" s="203">
        <f>13.65*4.6</f>
        <v>62.79</v>
      </c>
      <c r="N38" s="180">
        <v>1</v>
      </c>
      <c r="O38" s="602">
        <f>10.64*4.6</f>
        <v>48.943999999999996</v>
      </c>
      <c r="P38" s="188">
        <v>6.27</v>
      </c>
      <c r="Q38" s="180"/>
      <c r="R38" s="589">
        <f>(C38*J38+F38*K38+G38*L38+H38*M38+N38*O38+C38*P38)</f>
        <v>123.71639999999998</v>
      </c>
    </row>
    <row r="39" spans="1:18" ht="27">
      <c r="A39" s="598" t="s">
        <v>1339</v>
      </c>
      <c r="B39" s="599" t="s">
        <v>1340</v>
      </c>
      <c r="C39" s="600">
        <v>1</v>
      </c>
      <c r="D39" s="180">
        <v>0.4</v>
      </c>
      <c r="E39" s="180">
        <v>1</v>
      </c>
      <c r="F39" s="193">
        <v>0.4</v>
      </c>
      <c r="G39" s="193">
        <v>0.4</v>
      </c>
      <c r="H39" s="193">
        <v>0.4</v>
      </c>
      <c r="I39" s="180"/>
      <c r="J39" s="601">
        <f>16.28+1.67+10</f>
        <v>27.950000000000003</v>
      </c>
      <c r="K39" s="602">
        <f>6.9*4.5</f>
        <v>31.05</v>
      </c>
      <c r="L39" s="602">
        <f>8.38*4.5</f>
        <v>37.71</v>
      </c>
      <c r="M39" s="203">
        <f>13.65*4.6</f>
        <v>62.79</v>
      </c>
      <c r="N39" s="180">
        <v>1</v>
      </c>
      <c r="O39" s="602">
        <f>7.95*4.5</f>
        <v>35.774999999999999</v>
      </c>
      <c r="P39" s="188">
        <v>7.18</v>
      </c>
      <c r="Q39" s="180"/>
      <c r="R39" s="589">
        <f>(C39*J39+F39*K39+G39*L39+H39*M39+N39*O39+C39*P39)</f>
        <v>123.52500000000001</v>
      </c>
    </row>
    <row r="40" spans="1:18" ht="27">
      <c r="A40" s="598" t="s">
        <v>1341</v>
      </c>
      <c r="B40" s="599" t="s">
        <v>1342</v>
      </c>
      <c r="C40" s="600">
        <v>1</v>
      </c>
      <c r="D40" s="180">
        <v>0.4</v>
      </c>
      <c r="E40" s="180">
        <v>1</v>
      </c>
      <c r="F40" s="193">
        <v>0.4</v>
      </c>
      <c r="G40" s="193">
        <v>0.4</v>
      </c>
      <c r="H40" s="193">
        <v>0.4</v>
      </c>
      <c r="I40" s="180"/>
      <c r="J40" s="601">
        <f>23.1+1.94+10</f>
        <v>35.040000000000006</v>
      </c>
      <c r="K40" s="602">
        <f>7.68*4.5</f>
        <v>34.56</v>
      </c>
      <c r="L40" s="602">
        <f>13.4*4.5</f>
        <v>60.300000000000004</v>
      </c>
      <c r="M40" s="203">
        <f>16.59*4.6</f>
        <v>76.313999999999993</v>
      </c>
      <c r="N40" s="180">
        <v>1</v>
      </c>
      <c r="O40" s="602">
        <f>9.84*4.5</f>
        <v>44.28</v>
      </c>
      <c r="P40" s="188">
        <v>9.24</v>
      </c>
      <c r="Q40" s="180"/>
      <c r="R40" s="589">
        <f>(C40*J40+F40*K40+G40*L40+H40*M40+N40*O40+C40*P40)</f>
        <v>157.02960000000002</v>
      </c>
    </row>
    <row r="41" spans="1:18" ht="27">
      <c r="A41" s="598" t="s">
        <v>928</v>
      </c>
      <c r="B41" s="599" t="s">
        <v>1343</v>
      </c>
      <c r="C41" s="600">
        <v>1</v>
      </c>
      <c r="D41" s="180">
        <v>0.4</v>
      </c>
      <c r="E41" s="180">
        <v>1</v>
      </c>
      <c r="F41" s="193">
        <v>0.4</v>
      </c>
      <c r="G41" s="193">
        <v>0.4</v>
      </c>
      <c r="H41" s="193">
        <v>0.4</v>
      </c>
      <c r="I41" s="180"/>
      <c r="J41" s="601">
        <f>27.23+2.47+10</f>
        <v>39.700000000000003</v>
      </c>
      <c r="K41" s="602">
        <f>11.01*4.5</f>
        <v>49.545000000000002</v>
      </c>
      <c r="L41" s="602">
        <f>19.48*4.5</f>
        <v>87.66</v>
      </c>
      <c r="M41" s="603">
        <f>15.76*4.6</f>
        <v>72.495999999999995</v>
      </c>
      <c r="N41" s="180">
        <v>1</v>
      </c>
      <c r="O41" s="602">
        <f>11.38*4.5</f>
        <v>51.21</v>
      </c>
      <c r="P41" s="188">
        <v>10.56</v>
      </c>
      <c r="Q41" s="180"/>
      <c r="R41" s="589">
        <f t="shared" ref="R41:R46" si="2">(C41*J41+F41*K41+G41*L41+H41*M41+N41*O41+C41*P41)</f>
        <v>185.35040000000001</v>
      </c>
    </row>
    <row r="42" spans="1:18" ht="27">
      <c r="A42" s="598" t="s">
        <v>929</v>
      </c>
      <c r="B42" s="599" t="s">
        <v>1344</v>
      </c>
      <c r="C42" s="600">
        <v>1</v>
      </c>
      <c r="D42" s="180">
        <v>0.4</v>
      </c>
      <c r="E42" s="180">
        <v>1</v>
      </c>
      <c r="F42" s="193">
        <v>0.4</v>
      </c>
      <c r="G42" s="193">
        <v>0.4</v>
      </c>
      <c r="H42" s="193">
        <v>0.4</v>
      </c>
      <c r="I42" s="180"/>
      <c r="J42" s="604">
        <f>37.03+2.89+10</f>
        <v>49.92</v>
      </c>
      <c r="K42" s="602">
        <f>14.73*4.5</f>
        <v>66.284999999999997</v>
      </c>
      <c r="L42" s="602">
        <f>25.6*4.5</f>
        <v>115.2</v>
      </c>
      <c r="M42" s="603">
        <f>15.8*4.6</f>
        <v>72.679999999999993</v>
      </c>
      <c r="N42" s="180">
        <v>1</v>
      </c>
      <c r="O42" s="602">
        <f>13.29*4.5</f>
        <v>59.804999999999993</v>
      </c>
      <c r="P42" s="188">
        <v>13</v>
      </c>
      <c r="Q42" s="180"/>
      <c r="R42" s="589">
        <f t="shared" si="2"/>
        <v>224.39100000000002</v>
      </c>
    </row>
    <row r="43" spans="1:18" ht="27">
      <c r="A43" s="598" t="s">
        <v>931</v>
      </c>
      <c r="B43" s="599" t="s">
        <v>1345</v>
      </c>
      <c r="C43" s="600">
        <v>1</v>
      </c>
      <c r="D43" s="180">
        <v>0.35</v>
      </c>
      <c r="E43" s="180">
        <v>1</v>
      </c>
      <c r="F43" s="193">
        <v>0.35</v>
      </c>
      <c r="G43" s="193">
        <v>0.35</v>
      </c>
      <c r="H43" s="193">
        <v>0.35</v>
      </c>
      <c r="I43" s="180"/>
      <c r="J43" s="601">
        <f>56.63+3.7+10</f>
        <v>70.330000000000013</v>
      </c>
      <c r="K43" s="602">
        <f>20.62*4.5</f>
        <v>92.79</v>
      </c>
      <c r="L43" s="602">
        <f>34.73*4.5</f>
        <v>156.285</v>
      </c>
      <c r="M43" s="605">
        <f>40.76*4.6</f>
        <v>187.49599999999998</v>
      </c>
      <c r="N43" s="180">
        <v>1</v>
      </c>
      <c r="O43" s="602">
        <f>18.9*4.5</f>
        <v>85.05</v>
      </c>
      <c r="P43" s="188">
        <v>19.850000000000001</v>
      </c>
      <c r="Q43" s="180"/>
      <c r="R43" s="589">
        <f t="shared" si="2"/>
        <v>328.02985000000007</v>
      </c>
    </row>
    <row r="44" spans="1:18" ht="27">
      <c r="A44" s="598" t="s">
        <v>932</v>
      </c>
      <c r="B44" s="599" t="s">
        <v>1346</v>
      </c>
      <c r="C44" s="600">
        <v>1</v>
      </c>
      <c r="D44" s="180">
        <v>0.35</v>
      </c>
      <c r="E44" s="180">
        <v>1</v>
      </c>
      <c r="F44" s="193">
        <v>0.35</v>
      </c>
      <c r="G44" s="193">
        <v>0.35</v>
      </c>
      <c r="H44" s="193">
        <v>0.35</v>
      </c>
      <c r="I44" s="180"/>
      <c r="J44" s="601">
        <f>80.59+4.33+10</f>
        <v>94.92</v>
      </c>
      <c r="K44" s="602">
        <f>47.84*4.5</f>
        <v>215.28000000000003</v>
      </c>
      <c r="L44" s="603">
        <f>76.86*4.5</f>
        <v>345.87</v>
      </c>
      <c r="M44" s="603">
        <f>35.91*4.6</f>
        <v>165.18599999999998</v>
      </c>
      <c r="N44" s="180">
        <v>1</v>
      </c>
      <c r="O44" s="188">
        <f>24.51*4.5</f>
        <v>110.295</v>
      </c>
      <c r="P44" s="188">
        <v>29.18</v>
      </c>
      <c r="Q44" s="180"/>
      <c r="R44" s="589">
        <f t="shared" si="2"/>
        <v>488.61259999999999</v>
      </c>
    </row>
    <row r="45" spans="1:18" ht="27">
      <c r="A45" s="598" t="s">
        <v>1347</v>
      </c>
      <c r="B45" s="599" t="s">
        <v>1348</v>
      </c>
      <c r="C45" s="600">
        <v>1</v>
      </c>
      <c r="D45" s="180">
        <v>0.3</v>
      </c>
      <c r="E45" s="180">
        <v>1</v>
      </c>
      <c r="F45" s="193">
        <v>0.3</v>
      </c>
      <c r="G45" s="193">
        <v>0.3</v>
      </c>
      <c r="H45" s="193">
        <v>0.3</v>
      </c>
      <c r="I45" s="180"/>
      <c r="J45" s="601">
        <f>106.72+4.51+10</f>
        <v>121.23</v>
      </c>
      <c r="K45" s="603">
        <f>58.42*4.5</f>
        <v>262.89</v>
      </c>
      <c r="L45" s="603">
        <f>82.99*4.5</f>
        <v>373.45499999999998</v>
      </c>
      <c r="M45" s="603">
        <f>79.04*4.6</f>
        <v>363.584</v>
      </c>
      <c r="N45" s="180">
        <v>1</v>
      </c>
      <c r="O45" s="188">
        <f>32.81*4.5</f>
        <v>147.64500000000001</v>
      </c>
      <c r="P45" s="188">
        <v>35.369999999999997</v>
      </c>
      <c r="Q45" s="180"/>
      <c r="R45" s="589">
        <f t="shared" si="2"/>
        <v>604.22370000000001</v>
      </c>
    </row>
    <row r="46" spans="1:18" ht="27">
      <c r="A46" s="598" t="s">
        <v>1349</v>
      </c>
      <c r="B46" s="599" t="s">
        <v>1350</v>
      </c>
      <c r="C46" s="600">
        <v>1</v>
      </c>
      <c r="D46" s="180">
        <v>0.2</v>
      </c>
      <c r="E46" s="180">
        <v>1</v>
      </c>
      <c r="F46" s="193">
        <v>0.2</v>
      </c>
      <c r="G46" s="193">
        <v>0.2</v>
      </c>
      <c r="H46" s="193">
        <v>0.2</v>
      </c>
      <c r="I46" s="180"/>
      <c r="J46" s="601">
        <f>124.15+6.23+10</f>
        <v>140.38</v>
      </c>
      <c r="K46" s="602">
        <f>103.71*4.5</f>
        <v>466.69499999999999</v>
      </c>
      <c r="L46" s="602">
        <f>207.57*4.5</f>
        <v>934.06499999999994</v>
      </c>
      <c r="M46" s="603">
        <f>131.39*4.6</f>
        <v>604.39399999999989</v>
      </c>
      <c r="N46" s="180">
        <v>1</v>
      </c>
      <c r="O46" s="602">
        <f>47.95*4.5</f>
        <v>215.77500000000001</v>
      </c>
      <c r="P46" s="188">
        <v>42.49</v>
      </c>
      <c r="Q46" s="180"/>
      <c r="R46" s="589">
        <f t="shared" si="2"/>
        <v>799.67579999999998</v>
      </c>
    </row>
    <row r="47" spans="1:18" ht="27">
      <c r="A47" s="598" t="s">
        <v>1351</v>
      </c>
      <c r="B47" s="599" t="s">
        <v>1352</v>
      </c>
      <c r="C47" s="600">
        <v>1</v>
      </c>
      <c r="D47" s="180">
        <v>0.2</v>
      </c>
      <c r="E47" s="180">
        <v>1</v>
      </c>
      <c r="F47" s="193">
        <v>0.2</v>
      </c>
      <c r="G47" s="193">
        <v>0.2</v>
      </c>
      <c r="H47" s="193">
        <v>0.2</v>
      </c>
      <c r="I47" s="180"/>
      <c r="J47" s="601">
        <f>254.83+7.1+10</f>
        <v>271.93</v>
      </c>
      <c r="K47" s="602">
        <f>198*4.5</f>
        <v>891</v>
      </c>
      <c r="L47" s="602">
        <f>338.68*4.5</f>
        <v>1524.06</v>
      </c>
      <c r="M47" s="603">
        <f>170.16*4.6</f>
        <v>782.73599999999988</v>
      </c>
      <c r="N47" s="180">
        <v>1</v>
      </c>
      <c r="O47" s="602">
        <f>74.13*4.5</f>
        <v>333.58499999999998</v>
      </c>
      <c r="P47" s="188">
        <v>75.75</v>
      </c>
      <c r="Q47" s="180"/>
      <c r="R47" s="589">
        <f>(C47*J47+F47*K47+G47*L47+H47*M47+N47*O47+C47*P47)</f>
        <v>1320.8242</v>
      </c>
    </row>
    <row r="48" spans="1:18" ht="27">
      <c r="A48" s="598" t="s">
        <v>1353</v>
      </c>
      <c r="B48" s="599" t="s">
        <v>1354</v>
      </c>
      <c r="C48" s="600">
        <v>1</v>
      </c>
      <c r="D48" s="180">
        <v>0.2</v>
      </c>
      <c r="E48" s="180">
        <v>1</v>
      </c>
      <c r="F48" s="193">
        <v>0.2</v>
      </c>
      <c r="G48" s="193">
        <v>0.2</v>
      </c>
      <c r="H48" s="193">
        <v>0.2</v>
      </c>
      <c r="I48" s="180"/>
      <c r="J48" s="601">
        <f>296.78+0.528+10</f>
        <v>307.30799999999999</v>
      </c>
      <c r="K48" s="602">
        <f>301.91*4.5</f>
        <v>1358.595</v>
      </c>
      <c r="L48" s="602">
        <f>472.18*4.5</f>
        <v>2124.81</v>
      </c>
      <c r="M48" s="603">
        <f>170.16*4.6</f>
        <v>782.73599999999988</v>
      </c>
      <c r="N48" s="180">
        <v>1</v>
      </c>
      <c r="O48" s="602">
        <f>85.29*4.5</f>
        <v>383.80500000000001</v>
      </c>
      <c r="P48" s="188">
        <v>87.36</v>
      </c>
      <c r="Q48" s="180"/>
      <c r="R48" s="589">
        <f>(C48*J48+F48*K48+G48*L48+H48*M48+N48*O48+C48*P48)</f>
        <v>1631.7012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3E6B-5E45-49B1-8597-DEF9749C463E}">
  <dimension ref="B1:O115"/>
  <sheetViews>
    <sheetView workbookViewId="0">
      <selection activeCell="J28" sqref="J28"/>
    </sheetView>
  </sheetViews>
  <sheetFormatPr defaultRowHeight="15"/>
  <cols>
    <col min="2" max="2" width="12.140625" bestFit="1" customWidth="1"/>
    <col min="6" max="6" width="11.7109375" customWidth="1"/>
    <col min="9" max="10" width="14.42578125" customWidth="1"/>
    <col min="13" max="13" width="10.5703125" bestFit="1" customWidth="1"/>
    <col min="14" max="14" width="14.42578125" customWidth="1"/>
    <col min="15" max="15" width="17.42578125" bestFit="1" customWidth="1"/>
    <col min="258" max="258" width="12.140625" bestFit="1" customWidth="1"/>
    <col min="262" max="262" width="11.7109375" customWidth="1"/>
    <col min="265" max="266" width="14.42578125" customWidth="1"/>
    <col min="269" max="269" width="10.5703125" bestFit="1" customWidth="1"/>
    <col min="270" max="270" width="14.42578125" customWidth="1"/>
    <col min="271" max="271" width="17.42578125" bestFit="1" customWidth="1"/>
    <col min="514" max="514" width="12.140625" bestFit="1" customWidth="1"/>
    <col min="518" max="518" width="11.7109375" customWidth="1"/>
    <col min="521" max="522" width="14.42578125" customWidth="1"/>
    <col min="525" max="525" width="10.5703125" bestFit="1" customWidth="1"/>
    <col min="526" max="526" width="14.42578125" customWidth="1"/>
    <col min="527" max="527" width="17.42578125" bestFit="1" customWidth="1"/>
    <col min="770" max="770" width="12.140625" bestFit="1" customWidth="1"/>
    <col min="774" max="774" width="11.7109375" customWidth="1"/>
    <col min="777" max="778" width="14.42578125" customWidth="1"/>
    <col min="781" max="781" width="10.5703125" bestFit="1" customWidth="1"/>
    <col min="782" max="782" width="14.42578125" customWidth="1"/>
    <col min="783" max="783" width="17.42578125" bestFit="1" customWidth="1"/>
    <col min="1026" max="1026" width="12.140625" bestFit="1" customWidth="1"/>
    <col min="1030" max="1030" width="11.7109375" customWidth="1"/>
    <col min="1033" max="1034" width="14.42578125" customWidth="1"/>
    <col min="1037" max="1037" width="10.5703125" bestFit="1" customWidth="1"/>
    <col min="1038" max="1038" width="14.42578125" customWidth="1"/>
    <col min="1039" max="1039" width="17.42578125" bestFit="1" customWidth="1"/>
    <col min="1282" max="1282" width="12.140625" bestFit="1" customWidth="1"/>
    <col min="1286" max="1286" width="11.7109375" customWidth="1"/>
    <col min="1289" max="1290" width="14.42578125" customWidth="1"/>
    <col min="1293" max="1293" width="10.5703125" bestFit="1" customWidth="1"/>
    <col min="1294" max="1294" width="14.42578125" customWidth="1"/>
    <col min="1295" max="1295" width="17.42578125" bestFit="1" customWidth="1"/>
    <col min="1538" max="1538" width="12.140625" bestFit="1" customWidth="1"/>
    <col min="1542" max="1542" width="11.7109375" customWidth="1"/>
    <col min="1545" max="1546" width="14.42578125" customWidth="1"/>
    <col min="1549" max="1549" width="10.5703125" bestFit="1" customWidth="1"/>
    <col min="1550" max="1550" width="14.42578125" customWidth="1"/>
    <col min="1551" max="1551" width="17.42578125" bestFit="1" customWidth="1"/>
    <col min="1794" max="1794" width="12.140625" bestFit="1" customWidth="1"/>
    <col min="1798" max="1798" width="11.7109375" customWidth="1"/>
    <col min="1801" max="1802" width="14.42578125" customWidth="1"/>
    <col min="1805" max="1805" width="10.5703125" bestFit="1" customWidth="1"/>
    <col min="1806" max="1806" width="14.42578125" customWidth="1"/>
    <col min="1807" max="1807" width="17.42578125" bestFit="1" customWidth="1"/>
    <col min="2050" max="2050" width="12.140625" bestFit="1" customWidth="1"/>
    <col min="2054" max="2054" width="11.7109375" customWidth="1"/>
    <col min="2057" max="2058" width="14.42578125" customWidth="1"/>
    <col min="2061" max="2061" width="10.5703125" bestFit="1" customWidth="1"/>
    <col min="2062" max="2062" width="14.42578125" customWidth="1"/>
    <col min="2063" max="2063" width="17.42578125" bestFit="1" customWidth="1"/>
    <col min="2306" max="2306" width="12.140625" bestFit="1" customWidth="1"/>
    <col min="2310" max="2310" width="11.7109375" customWidth="1"/>
    <col min="2313" max="2314" width="14.42578125" customWidth="1"/>
    <col min="2317" max="2317" width="10.5703125" bestFit="1" customWidth="1"/>
    <col min="2318" max="2318" width="14.42578125" customWidth="1"/>
    <col min="2319" max="2319" width="17.42578125" bestFit="1" customWidth="1"/>
    <col min="2562" max="2562" width="12.140625" bestFit="1" customWidth="1"/>
    <col min="2566" max="2566" width="11.7109375" customWidth="1"/>
    <col min="2569" max="2570" width="14.42578125" customWidth="1"/>
    <col min="2573" max="2573" width="10.5703125" bestFit="1" customWidth="1"/>
    <col min="2574" max="2574" width="14.42578125" customWidth="1"/>
    <col min="2575" max="2575" width="17.42578125" bestFit="1" customWidth="1"/>
    <col min="2818" max="2818" width="12.140625" bestFit="1" customWidth="1"/>
    <col min="2822" max="2822" width="11.7109375" customWidth="1"/>
    <col min="2825" max="2826" width="14.42578125" customWidth="1"/>
    <col min="2829" max="2829" width="10.5703125" bestFit="1" customWidth="1"/>
    <col min="2830" max="2830" width="14.42578125" customWidth="1"/>
    <col min="2831" max="2831" width="17.42578125" bestFit="1" customWidth="1"/>
    <col min="3074" max="3074" width="12.140625" bestFit="1" customWidth="1"/>
    <col min="3078" max="3078" width="11.7109375" customWidth="1"/>
    <col min="3081" max="3082" width="14.42578125" customWidth="1"/>
    <col min="3085" max="3085" width="10.5703125" bestFit="1" customWidth="1"/>
    <col min="3086" max="3086" width="14.42578125" customWidth="1"/>
    <col min="3087" max="3087" width="17.42578125" bestFit="1" customWidth="1"/>
    <col min="3330" max="3330" width="12.140625" bestFit="1" customWidth="1"/>
    <col min="3334" max="3334" width="11.7109375" customWidth="1"/>
    <col min="3337" max="3338" width="14.42578125" customWidth="1"/>
    <col min="3341" max="3341" width="10.5703125" bestFit="1" customWidth="1"/>
    <col min="3342" max="3342" width="14.42578125" customWidth="1"/>
    <col min="3343" max="3343" width="17.42578125" bestFit="1" customWidth="1"/>
    <col min="3586" max="3586" width="12.140625" bestFit="1" customWidth="1"/>
    <col min="3590" max="3590" width="11.7109375" customWidth="1"/>
    <col min="3593" max="3594" width="14.42578125" customWidth="1"/>
    <col min="3597" max="3597" width="10.5703125" bestFit="1" customWidth="1"/>
    <col min="3598" max="3598" width="14.42578125" customWidth="1"/>
    <col min="3599" max="3599" width="17.42578125" bestFit="1" customWidth="1"/>
    <col min="3842" max="3842" width="12.140625" bestFit="1" customWidth="1"/>
    <col min="3846" max="3846" width="11.7109375" customWidth="1"/>
    <col min="3849" max="3850" width="14.42578125" customWidth="1"/>
    <col min="3853" max="3853" width="10.5703125" bestFit="1" customWidth="1"/>
    <col min="3854" max="3854" width="14.42578125" customWidth="1"/>
    <col min="3855" max="3855" width="17.42578125" bestFit="1" customWidth="1"/>
    <col min="4098" max="4098" width="12.140625" bestFit="1" customWidth="1"/>
    <col min="4102" max="4102" width="11.7109375" customWidth="1"/>
    <col min="4105" max="4106" width="14.42578125" customWidth="1"/>
    <col min="4109" max="4109" width="10.5703125" bestFit="1" customWidth="1"/>
    <col min="4110" max="4110" width="14.42578125" customWidth="1"/>
    <col min="4111" max="4111" width="17.42578125" bestFit="1" customWidth="1"/>
    <col min="4354" max="4354" width="12.140625" bestFit="1" customWidth="1"/>
    <col min="4358" max="4358" width="11.7109375" customWidth="1"/>
    <col min="4361" max="4362" width="14.42578125" customWidth="1"/>
    <col min="4365" max="4365" width="10.5703125" bestFit="1" customWidth="1"/>
    <col min="4366" max="4366" width="14.42578125" customWidth="1"/>
    <col min="4367" max="4367" width="17.42578125" bestFit="1" customWidth="1"/>
    <col min="4610" max="4610" width="12.140625" bestFit="1" customWidth="1"/>
    <col min="4614" max="4614" width="11.7109375" customWidth="1"/>
    <col min="4617" max="4618" width="14.42578125" customWidth="1"/>
    <col min="4621" max="4621" width="10.5703125" bestFit="1" customWidth="1"/>
    <col min="4622" max="4622" width="14.42578125" customWidth="1"/>
    <col min="4623" max="4623" width="17.42578125" bestFit="1" customWidth="1"/>
    <col min="4866" max="4866" width="12.140625" bestFit="1" customWidth="1"/>
    <col min="4870" max="4870" width="11.7109375" customWidth="1"/>
    <col min="4873" max="4874" width="14.42578125" customWidth="1"/>
    <col min="4877" max="4877" width="10.5703125" bestFit="1" customWidth="1"/>
    <col min="4878" max="4878" width="14.42578125" customWidth="1"/>
    <col min="4879" max="4879" width="17.42578125" bestFit="1" customWidth="1"/>
    <col min="5122" max="5122" width="12.140625" bestFit="1" customWidth="1"/>
    <col min="5126" max="5126" width="11.7109375" customWidth="1"/>
    <col min="5129" max="5130" width="14.42578125" customWidth="1"/>
    <col min="5133" max="5133" width="10.5703125" bestFit="1" customWidth="1"/>
    <col min="5134" max="5134" width="14.42578125" customWidth="1"/>
    <col min="5135" max="5135" width="17.42578125" bestFit="1" customWidth="1"/>
    <col min="5378" max="5378" width="12.140625" bestFit="1" customWidth="1"/>
    <col min="5382" max="5382" width="11.7109375" customWidth="1"/>
    <col min="5385" max="5386" width="14.42578125" customWidth="1"/>
    <col min="5389" max="5389" width="10.5703125" bestFit="1" customWidth="1"/>
    <col min="5390" max="5390" width="14.42578125" customWidth="1"/>
    <col min="5391" max="5391" width="17.42578125" bestFit="1" customWidth="1"/>
    <col min="5634" max="5634" width="12.140625" bestFit="1" customWidth="1"/>
    <col min="5638" max="5638" width="11.7109375" customWidth="1"/>
    <col min="5641" max="5642" width="14.42578125" customWidth="1"/>
    <col min="5645" max="5645" width="10.5703125" bestFit="1" customWidth="1"/>
    <col min="5646" max="5646" width="14.42578125" customWidth="1"/>
    <col min="5647" max="5647" width="17.42578125" bestFit="1" customWidth="1"/>
    <col min="5890" max="5890" width="12.140625" bestFit="1" customWidth="1"/>
    <col min="5894" max="5894" width="11.7109375" customWidth="1"/>
    <col min="5897" max="5898" width="14.42578125" customWidth="1"/>
    <col min="5901" max="5901" width="10.5703125" bestFit="1" customWidth="1"/>
    <col min="5902" max="5902" width="14.42578125" customWidth="1"/>
    <col min="5903" max="5903" width="17.42578125" bestFit="1" customWidth="1"/>
    <col min="6146" max="6146" width="12.140625" bestFit="1" customWidth="1"/>
    <col min="6150" max="6150" width="11.7109375" customWidth="1"/>
    <col min="6153" max="6154" width="14.42578125" customWidth="1"/>
    <col min="6157" max="6157" width="10.5703125" bestFit="1" customWidth="1"/>
    <col min="6158" max="6158" width="14.42578125" customWidth="1"/>
    <col min="6159" max="6159" width="17.42578125" bestFit="1" customWidth="1"/>
    <col min="6402" max="6402" width="12.140625" bestFit="1" customWidth="1"/>
    <col min="6406" max="6406" width="11.7109375" customWidth="1"/>
    <col min="6409" max="6410" width="14.42578125" customWidth="1"/>
    <col min="6413" max="6413" width="10.5703125" bestFit="1" customWidth="1"/>
    <col min="6414" max="6414" width="14.42578125" customWidth="1"/>
    <col min="6415" max="6415" width="17.42578125" bestFit="1" customWidth="1"/>
    <col min="6658" max="6658" width="12.140625" bestFit="1" customWidth="1"/>
    <col min="6662" max="6662" width="11.7109375" customWidth="1"/>
    <col min="6665" max="6666" width="14.42578125" customWidth="1"/>
    <col min="6669" max="6669" width="10.5703125" bestFit="1" customWidth="1"/>
    <col min="6670" max="6670" width="14.42578125" customWidth="1"/>
    <col min="6671" max="6671" width="17.42578125" bestFit="1" customWidth="1"/>
    <col min="6914" max="6914" width="12.140625" bestFit="1" customWidth="1"/>
    <col min="6918" max="6918" width="11.7109375" customWidth="1"/>
    <col min="6921" max="6922" width="14.42578125" customWidth="1"/>
    <col min="6925" max="6925" width="10.5703125" bestFit="1" customWidth="1"/>
    <col min="6926" max="6926" width="14.42578125" customWidth="1"/>
    <col min="6927" max="6927" width="17.42578125" bestFit="1" customWidth="1"/>
    <col min="7170" max="7170" width="12.140625" bestFit="1" customWidth="1"/>
    <col min="7174" max="7174" width="11.7109375" customWidth="1"/>
    <col min="7177" max="7178" width="14.42578125" customWidth="1"/>
    <col min="7181" max="7181" width="10.5703125" bestFit="1" customWidth="1"/>
    <col min="7182" max="7182" width="14.42578125" customWidth="1"/>
    <col min="7183" max="7183" width="17.42578125" bestFit="1" customWidth="1"/>
    <col min="7426" max="7426" width="12.140625" bestFit="1" customWidth="1"/>
    <col min="7430" max="7430" width="11.7109375" customWidth="1"/>
    <col min="7433" max="7434" width="14.42578125" customWidth="1"/>
    <col min="7437" max="7437" width="10.5703125" bestFit="1" customWidth="1"/>
    <col min="7438" max="7438" width="14.42578125" customWidth="1"/>
    <col min="7439" max="7439" width="17.42578125" bestFit="1" customWidth="1"/>
    <col min="7682" max="7682" width="12.140625" bestFit="1" customWidth="1"/>
    <col min="7686" max="7686" width="11.7109375" customWidth="1"/>
    <col min="7689" max="7690" width="14.42578125" customWidth="1"/>
    <col min="7693" max="7693" width="10.5703125" bestFit="1" customWidth="1"/>
    <col min="7694" max="7694" width="14.42578125" customWidth="1"/>
    <col min="7695" max="7695" width="17.42578125" bestFit="1" customWidth="1"/>
    <col min="7938" max="7938" width="12.140625" bestFit="1" customWidth="1"/>
    <col min="7942" max="7942" width="11.7109375" customWidth="1"/>
    <col min="7945" max="7946" width="14.42578125" customWidth="1"/>
    <col min="7949" max="7949" width="10.5703125" bestFit="1" customWidth="1"/>
    <col min="7950" max="7950" width="14.42578125" customWidth="1"/>
    <col min="7951" max="7951" width="17.42578125" bestFit="1" customWidth="1"/>
    <col min="8194" max="8194" width="12.140625" bestFit="1" customWidth="1"/>
    <col min="8198" max="8198" width="11.7109375" customWidth="1"/>
    <col min="8201" max="8202" width="14.42578125" customWidth="1"/>
    <col min="8205" max="8205" width="10.5703125" bestFit="1" customWidth="1"/>
    <col min="8206" max="8206" width="14.42578125" customWidth="1"/>
    <col min="8207" max="8207" width="17.42578125" bestFit="1" customWidth="1"/>
    <col min="8450" max="8450" width="12.140625" bestFit="1" customWidth="1"/>
    <col min="8454" max="8454" width="11.7109375" customWidth="1"/>
    <col min="8457" max="8458" width="14.42578125" customWidth="1"/>
    <col min="8461" max="8461" width="10.5703125" bestFit="1" customWidth="1"/>
    <col min="8462" max="8462" width="14.42578125" customWidth="1"/>
    <col min="8463" max="8463" width="17.42578125" bestFit="1" customWidth="1"/>
    <col min="8706" max="8706" width="12.140625" bestFit="1" customWidth="1"/>
    <col min="8710" max="8710" width="11.7109375" customWidth="1"/>
    <col min="8713" max="8714" width="14.42578125" customWidth="1"/>
    <col min="8717" max="8717" width="10.5703125" bestFit="1" customWidth="1"/>
    <col min="8718" max="8718" width="14.42578125" customWidth="1"/>
    <col min="8719" max="8719" width="17.42578125" bestFit="1" customWidth="1"/>
    <col min="8962" max="8962" width="12.140625" bestFit="1" customWidth="1"/>
    <col min="8966" max="8966" width="11.7109375" customWidth="1"/>
    <col min="8969" max="8970" width="14.42578125" customWidth="1"/>
    <col min="8973" max="8973" width="10.5703125" bestFit="1" customWidth="1"/>
    <col min="8974" max="8974" width="14.42578125" customWidth="1"/>
    <col min="8975" max="8975" width="17.42578125" bestFit="1" customWidth="1"/>
    <col min="9218" max="9218" width="12.140625" bestFit="1" customWidth="1"/>
    <col min="9222" max="9222" width="11.7109375" customWidth="1"/>
    <col min="9225" max="9226" width="14.42578125" customWidth="1"/>
    <col min="9229" max="9229" width="10.5703125" bestFit="1" customWidth="1"/>
    <col min="9230" max="9230" width="14.42578125" customWidth="1"/>
    <col min="9231" max="9231" width="17.42578125" bestFit="1" customWidth="1"/>
    <col min="9474" max="9474" width="12.140625" bestFit="1" customWidth="1"/>
    <col min="9478" max="9478" width="11.7109375" customWidth="1"/>
    <col min="9481" max="9482" width="14.42578125" customWidth="1"/>
    <col min="9485" max="9485" width="10.5703125" bestFit="1" customWidth="1"/>
    <col min="9486" max="9486" width="14.42578125" customWidth="1"/>
    <col min="9487" max="9487" width="17.42578125" bestFit="1" customWidth="1"/>
    <col min="9730" max="9730" width="12.140625" bestFit="1" customWidth="1"/>
    <col min="9734" max="9734" width="11.7109375" customWidth="1"/>
    <col min="9737" max="9738" width="14.42578125" customWidth="1"/>
    <col min="9741" max="9741" width="10.5703125" bestFit="1" customWidth="1"/>
    <col min="9742" max="9742" width="14.42578125" customWidth="1"/>
    <col min="9743" max="9743" width="17.42578125" bestFit="1" customWidth="1"/>
    <col min="9986" max="9986" width="12.140625" bestFit="1" customWidth="1"/>
    <col min="9990" max="9990" width="11.7109375" customWidth="1"/>
    <col min="9993" max="9994" width="14.42578125" customWidth="1"/>
    <col min="9997" max="9997" width="10.5703125" bestFit="1" customWidth="1"/>
    <col min="9998" max="9998" width="14.42578125" customWidth="1"/>
    <col min="9999" max="9999" width="17.42578125" bestFit="1" customWidth="1"/>
    <col min="10242" max="10242" width="12.140625" bestFit="1" customWidth="1"/>
    <col min="10246" max="10246" width="11.7109375" customWidth="1"/>
    <col min="10249" max="10250" width="14.42578125" customWidth="1"/>
    <col min="10253" max="10253" width="10.5703125" bestFit="1" customWidth="1"/>
    <col min="10254" max="10254" width="14.42578125" customWidth="1"/>
    <col min="10255" max="10255" width="17.42578125" bestFit="1" customWidth="1"/>
    <col min="10498" max="10498" width="12.140625" bestFit="1" customWidth="1"/>
    <col min="10502" max="10502" width="11.7109375" customWidth="1"/>
    <col min="10505" max="10506" width="14.42578125" customWidth="1"/>
    <col min="10509" max="10509" width="10.5703125" bestFit="1" customWidth="1"/>
    <col min="10510" max="10510" width="14.42578125" customWidth="1"/>
    <col min="10511" max="10511" width="17.42578125" bestFit="1" customWidth="1"/>
    <col min="10754" max="10754" width="12.140625" bestFit="1" customWidth="1"/>
    <col min="10758" max="10758" width="11.7109375" customWidth="1"/>
    <col min="10761" max="10762" width="14.42578125" customWidth="1"/>
    <col min="10765" max="10765" width="10.5703125" bestFit="1" customWidth="1"/>
    <col min="10766" max="10766" width="14.42578125" customWidth="1"/>
    <col min="10767" max="10767" width="17.42578125" bestFit="1" customWidth="1"/>
    <col min="11010" max="11010" width="12.140625" bestFit="1" customWidth="1"/>
    <col min="11014" max="11014" width="11.7109375" customWidth="1"/>
    <col min="11017" max="11018" width="14.42578125" customWidth="1"/>
    <col min="11021" max="11021" width="10.5703125" bestFit="1" customWidth="1"/>
    <col min="11022" max="11022" width="14.42578125" customWidth="1"/>
    <col min="11023" max="11023" width="17.42578125" bestFit="1" customWidth="1"/>
    <col min="11266" max="11266" width="12.140625" bestFit="1" customWidth="1"/>
    <col min="11270" max="11270" width="11.7109375" customWidth="1"/>
    <col min="11273" max="11274" width="14.42578125" customWidth="1"/>
    <col min="11277" max="11277" width="10.5703125" bestFit="1" customWidth="1"/>
    <col min="11278" max="11278" width="14.42578125" customWidth="1"/>
    <col min="11279" max="11279" width="17.42578125" bestFit="1" customWidth="1"/>
    <col min="11522" max="11522" width="12.140625" bestFit="1" customWidth="1"/>
    <col min="11526" max="11526" width="11.7109375" customWidth="1"/>
    <col min="11529" max="11530" width="14.42578125" customWidth="1"/>
    <col min="11533" max="11533" width="10.5703125" bestFit="1" customWidth="1"/>
    <col min="11534" max="11534" width="14.42578125" customWidth="1"/>
    <col min="11535" max="11535" width="17.42578125" bestFit="1" customWidth="1"/>
    <col min="11778" max="11778" width="12.140625" bestFit="1" customWidth="1"/>
    <col min="11782" max="11782" width="11.7109375" customWidth="1"/>
    <col min="11785" max="11786" width="14.42578125" customWidth="1"/>
    <col min="11789" max="11789" width="10.5703125" bestFit="1" customWidth="1"/>
    <col min="11790" max="11790" width="14.42578125" customWidth="1"/>
    <col min="11791" max="11791" width="17.42578125" bestFit="1" customWidth="1"/>
    <col min="12034" max="12034" width="12.140625" bestFit="1" customWidth="1"/>
    <col min="12038" max="12038" width="11.7109375" customWidth="1"/>
    <col min="12041" max="12042" width="14.42578125" customWidth="1"/>
    <col min="12045" max="12045" width="10.5703125" bestFit="1" customWidth="1"/>
    <col min="12046" max="12046" width="14.42578125" customWidth="1"/>
    <col min="12047" max="12047" width="17.42578125" bestFit="1" customWidth="1"/>
    <col min="12290" max="12290" width="12.140625" bestFit="1" customWidth="1"/>
    <col min="12294" max="12294" width="11.7109375" customWidth="1"/>
    <col min="12297" max="12298" width="14.42578125" customWidth="1"/>
    <col min="12301" max="12301" width="10.5703125" bestFit="1" customWidth="1"/>
    <col min="12302" max="12302" width="14.42578125" customWidth="1"/>
    <col min="12303" max="12303" width="17.42578125" bestFit="1" customWidth="1"/>
    <col min="12546" max="12546" width="12.140625" bestFit="1" customWidth="1"/>
    <col min="12550" max="12550" width="11.7109375" customWidth="1"/>
    <col min="12553" max="12554" width="14.42578125" customWidth="1"/>
    <col min="12557" max="12557" width="10.5703125" bestFit="1" customWidth="1"/>
    <col min="12558" max="12558" width="14.42578125" customWidth="1"/>
    <col min="12559" max="12559" width="17.42578125" bestFit="1" customWidth="1"/>
    <col min="12802" max="12802" width="12.140625" bestFit="1" customWidth="1"/>
    <col min="12806" max="12806" width="11.7109375" customWidth="1"/>
    <col min="12809" max="12810" width="14.42578125" customWidth="1"/>
    <col min="12813" max="12813" width="10.5703125" bestFit="1" customWidth="1"/>
    <col min="12814" max="12814" width="14.42578125" customWidth="1"/>
    <col min="12815" max="12815" width="17.42578125" bestFit="1" customWidth="1"/>
    <col min="13058" max="13058" width="12.140625" bestFit="1" customWidth="1"/>
    <col min="13062" max="13062" width="11.7109375" customWidth="1"/>
    <col min="13065" max="13066" width="14.42578125" customWidth="1"/>
    <col min="13069" max="13069" width="10.5703125" bestFit="1" customWidth="1"/>
    <col min="13070" max="13070" width="14.42578125" customWidth="1"/>
    <col min="13071" max="13071" width="17.42578125" bestFit="1" customWidth="1"/>
    <col min="13314" max="13314" width="12.140625" bestFit="1" customWidth="1"/>
    <col min="13318" max="13318" width="11.7109375" customWidth="1"/>
    <col min="13321" max="13322" width="14.42578125" customWidth="1"/>
    <col min="13325" max="13325" width="10.5703125" bestFit="1" customWidth="1"/>
    <col min="13326" max="13326" width="14.42578125" customWidth="1"/>
    <col min="13327" max="13327" width="17.42578125" bestFit="1" customWidth="1"/>
    <col min="13570" max="13570" width="12.140625" bestFit="1" customWidth="1"/>
    <col min="13574" max="13574" width="11.7109375" customWidth="1"/>
    <col min="13577" max="13578" width="14.42578125" customWidth="1"/>
    <col min="13581" max="13581" width="10.5703125" bestFit="1" customWidth="1"/>
    <col min="13582" max="13582" width="14.42578125" customWidth="1"/>
    <col min="13583" max="13583" width="17.42578125" bestFit="1" customWidth="1"/>
    <col min="13826" max="13826" width="12.140625" bestFit="1" customWidth="1"/>
    <col min="13830" max="13830" width="11.7109375" customWidth="1"/>
    <col min="13833" max="13834" width="14.42578125" customWidth="1"/>
    <col min="13837" max="13837" width="10.5703125" bestFit="1" customWidth="1"/>
    <col min="13838" max="13838" width="14.42578125" customWidth="1"/>
    <col min="13839" max="13839" width="17.42578125" bestFit="1" customWidth="1"/>
    <col min="14082" max="14082" width="12.140625" bestFit="1" customWidth="1"/>
    <col min="14086" max="14086" width="11.7109375" customWidth="1"/>
    <col min="14089" max="14090" width="14.42578125" customWidth="1"/>
    <col min="14093" max="14093" width="10.5703125" bestFit="1" customWidth="1"/>
    <col min="14094" max="14094" width="14.42578125" customWidth="1"/>
    <col min="14095" max="14095" width="17.42578125" bestFit="1" customWidth="1"/>
    <col min="14338" max="14338" width="12.140625" bestFit="1" customWidth="1"/>
    <col min="14342" max="14342" width="11.7109375" customWidth="1"/>
    <col min="14345" max="14346" width="14.42578125" customWidth="1"/>
    <col min="14349" max="14349" width="10.5703125" bestFit="1" customWidth="1"/>
    <col min="14350" max="14350" width="14.42578125" customWidth="1"/>
    <col min="14351" max="14351" width="17.42578125" bestFit="1" customWidth="1"/>
    <col min="14594" max="14594" width="12.140625" bestFit="1" customWidth="1"/>
    <col min="14598" max="14598" width="11.7109375" customWidth="1"/>
    <col min="14601" max="14602" width="14.42578125" customWidth="1"/>
    <col min="14605" max="14605" width="10.5703125" bestFit="1" customWidth="1"/>
    <col min="14606" max="14606" width="14.42578125" customWidth="1"/>
    <col min="14607" max="14607" width="17.42578125" bestFit="1" customWidth="1"/>
    <col min="14850" max="14850" width="12.140625" bestFit="1" customWidth="1"/>
    <col min="14854" max="14854" width="11.7109375" customWidth="1"/>
    <col min="14857" max="14858" width="14.42578125" customWidth="1"/>
    <col min="14861" max="14861" width="10.5703125" bestFit="1" customWidth="1"/>
    <col min="14862" max="14862" width="14.42578125" customWidth="1"/>
    <col min="14863" max="14863" width="17.42578125" bestFit="1" customWidth="1"/>
    <col min="15106" max="15106" width="12.140625" bestFit="1" customWidth="1"/>
    <col min="15110" max="15110" width="11.7109375" customWidth="1"/>
    <col min="15113" max="15114" width="14.42578125" customWidth="1"/>
    <col min="15117" max="15117" width="10.5703125" bestFit="1" customWidth="1"/>
    <col min="15118" max="15118" width="14.42578125" customWidth="1"/>
    <col min="15119" max="15119" width="17.42578125" bestFit="1" customWidth="1"/>
    <col min="15362" max="15362" width="12.140625" bestFit="1" customWidth="1"/>
    <col min="15366" max="15366" width="11.7109375" customWidth="1"/>
    <col min="15369" max="15370" width="14.42578125" customWidth="1"/>
    <col min="15373" max="15373" width="10.5703125" bestFit="1" customWidth="1"/>
    <col min="15374" max="15374" width="14.42578125" customWidth="1"/>
    <col min="15375" max="15375" width="17.42578125" bestFit="1" customWidth="1"/>
    <col min="15618" max="15618" width="12.140625" bestFit="1" customWidth="1"/>
    <col min="15622" max="15622" width="11.7109375" customWidth="1"/>
    <col min="15625" max="15626" width="14.42578125" customWidth="1"/>
    <col min="15629" max="15629" width="10.5703125" bestFit="1" customWidth="1"/>
    <col min="15630" max="15630" width="14.42578125" customWidth="1"/>
    <col min="15631" max="15631" width="17.42578125" bestFit="1" customWidth="1"/>
    <col min="15874" max="15874" width="12.140625" bestFit="1" customWidth="1"/>
    <col min="15878" max="15878" width="11.7109375" customWidth="1"/>
    <col min="15881" max="15882" width="14.42578125" customWidth="1"/>
    <col min="15885" max="15885" width="10.5703125" bestFit="1" customWidth="1"/>
    <col min="15886" max="15886" width="14.42578125" customWidth="1"/>
    <col min="15887" max="15887" width="17.42578125" bestFit="1" customWidth="1"/>
    <col min="16130" max="16130" width="12.140625" bestFit="1" customWidth="1"/>
    <col min="16134" max="16134" width="11.7109375" customWidth="1"/>
    <col min="16137" max="16138" width="14.42578125" customWidth="1"/>
    <col min="16141" max="16141" width="10.5703125" bestFit="1" customWidth="1"/>
    <col min="16142" max="16142" width="14.42578125" customWidth="1"/>
    <col min="16143" max="16143" width="17.42578125" bestFit="1" customWidth="1"/>
  </cols>
  <sheetData>
    <row r="1" spans="2:15" ht="15.75" thickBot="1">
      <c r="C1" s="948" t="s">
        <v>1362</v>
      </c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50"/>
    </row>
    <row r="2" spans="2:15">
      <c r="C2" s="617" t="s">
        <v>1363</v>
      </c>
    </row>
    <row r="3" spans="2:15" ht="15.75" thickBot="1">
      <c r="C3" s="28" t="s">
        <v>1364</v>
      </c>
      <c r="D3" s="28"/>
      <c r="E3" s="28"/>
      <c r="F3" s="28"/>
      <c r="I3" t="s">
        <v>1365</v>
      </c>
      <c r="K3" s="18"/>
      <c r="N3" s="618"/>
    </row>
    <row r="4" spans="2:15">
      <c r="C4" s="240"/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619"/>
      <c r="O4" t="s">
        <v>8</v>
      </c>
    </row>
    <row r="5" spans="2:15">
      <c r="C5" s="277"/>
      <c r="N5" s="620"/>
    </row>
    <row r="6" spans="2:15">
      <c r="C6" s="273"/>
      <c r="N6" s="620"/>
    </row>
    <row r="7" spans="2:15">
      <c r="C7" s="273" t="s">
        <v>769</v>
      </c>
      <c r="D7" t="s">
        <v>769</v>
      </c>
      <c r="E7" t="s">
        <v>611</v>
      </c>
      <c r="F7" t="s">
        <v>612</v>
      </c>
      <c r="G7" t="s">
        <v>613</v>
      </c>
      <c r="H7" t="s">
        <v>611</v>
      </c>
      <c r="I7" t="s">
        <v>614</v>
      </c>
      <c r="J7" t="s">
        <v>615</v>
      </c>
      <c r="K7" t="s">
        <v>613</v>
      </c>
      <c r="L7" t="s">
        <v>611</v>
      </c>
      <c r="M7" t="s">
        <v>616</v>
      </c>
      <c r="N7" s="620" t="s">
        <v>617</v>
      </c>
      <c r="O7" s="621"/>
    </row>
    <row r="8" spans="2:15">
      <c r="B8" t="s">
        <v>233</v>
      </c>
      <c r="C8" s="226" t="s">
        <v>47</v>
      </c>
      <c r="D8" s="227"/>
      <c r="E8" s="11">
        <v>1.08</v>
      </c>
      <c r="F8" s="622">
        <v>12.18</v>
      </c>
      <c r="G8" s="24"/>
      <c r="H8" s="23">
        <v>1</v>
      </c>
      <c r="I8" s="622">
        <v>10.6</v>
      </c>
      <c r="J8" s="622">
        <v>4.03</v>
      </c>
      <c r="K8" s="12"/>
      <c r="L8" s="11">
        <v>1</v>
      </c>
      <c r="M8" s="623">
        <f>2.6*2</f>
        <v>5.2</v>
      </c>
      <c r="N8" s="624">
        <f>(E8*(F8-F8*G8)+H8*((I8+J8)-(I8+J8)*K8)/2+L8*M8)*1.015</f>
        <v>26.054440999999997</v>
      </c>
      <c r="O8" s="228" t="s">
        <v>1366</v>
      </c>
    </row>
    <row r="9" spans="2:15">
      <c r="B9" t="s">
        <v>234</v>
      </c>
      <c r="C9" s="226" t="s">
        <v>49</v>
      </c>
      <c r="D9" s="227"/>
      <c r="E9" s="11">
        <v>1.08</v>
      </c>
      <c r="F9" s="622">
        <v>15.71</v>
      </c>
      <c r="G9" s="24"/>
      <c r="H9" s="23">
        <v>1</v>
      </c>
      <c r="I9" s="622">
        <v>8.7899999999999991</v>
      </c>
      <c r="J9" s="622">
        <v>3.63</v>
      </c>
      <c r="K9" s="12"/>
      <c r="L9" s="11">
        <v>1</v>
      </c>
      <c r="M9" s="623">
        <f>3.12*2</f>
        <v>6.24</v>
      </c>
      <c r="N9" s="624">
        <f t="shared" ref="N9:N20" si="0">(E9*(F9-F9*G9)+H9*((I9+J9)-(I9+J9)*K9)/2+L9*M9)*1.015</f>
        <v>29.858052000000001</v>
      </c>
      <c r="O9" s="228" t="str">
        <f>O8</f>
        <v>z/szwem 304</v>
      </c>
    </row>
    <row r="10" spans="2:15">
      <c r="B10" t="s">
        <v>235</v>
      </c>
      <c r="C10" s="226" t="s">
        <v>51</v>
      </c>
      <c r="D10" s="227"/>
      <c r="E10" s="11">
        <v>1.08</v>
      </c>
      <c r="F10" s="622">
        <v>20.03</v>
      </c>
      <c r="G10" s="24"/>
      <c r="H10" s="23">
        <v>0.9</v>
      </c>
      <c r="I10" s="622">
        <v>11.03</v>
      </c>
      <c r="J10" s="622">
        <v>5.18</v>
      </c>
      <c r="K10" s="12"/>
      <c r="L10" s="11">
        <v>1</v>
      </c>
      <c r="M10" s="623">
        <f>4.225*2</f>
        <v>8.4499999999999993</v>
      </c>
      <c r="N10" s="624">
        <f t="shared" si="0"/>
        <v>37.9375535</v>
      </c>
      <c r="O10" s="228" t="str">
        <f t="shared" ref="O10:O25" si="1">O9</f>
        <v>z/szwem 304</v>
      </c>
    </row>
    <row r="11" spans="2:15">
      <c r="B11" t="s">
        <v>236</v>
      </c>
      <c r="C11" s="226" t="s">
        <v>53</v>
      </c>
      <c r="D11" s="227"/>
      <c r="E11" s="11">
        <v>1.08</v>
      </c>
      <c r="F11" s="622">
        <v>25.49</v>
      </c>
      <c r="G11" s="24"/>
      <c r="H11" s="23">
        <v>0.9</v>
      </c>
      <c r="I11" s="622">
        <v>12.03</v>
      </c>
      <c r="J11" s="622">
        <v>6.87</v>
      </c>
      <c r="K11" s="12"/>
      <c r="L11" s="11">
        <v>1</v>
      </c>
      <c r="M11" s="623">
        <f>5.226*2</f>
        <v>10.452</v>
      </c>
      <c r="N11" s="624">
        <f t="shared" si="0"/>
        <v>47.183492999999991</v>
      </c>
      <c r="O11" s="228" t="str">
        <f t="shared" si="1"/>
        <v>z/szwem 304</v>
      </c>
    </row>
    <row r="12" spans="2:15">
      <c r="B12" t="s">
        <v>237</v>
      </c>
      <c r="C12" s="226" t="s">
        <v>55</v>
      </c>
      <c r="D12" s="227"/>
      <c r="E12" s="11">
        <v>1.08</v>
      </c>
      <c r="F12" s="622">
        <v>29.22</v>
      </c>
      <c r="G12" s="24"/>
      <c r="H12" s="23">
        <v>0.9</v>
      </c>
      <c r="I12" s="622">
        <v>13.2</v>
      </c>
      <c r="J12" s="622">
        <v>7.7</v>
      </c>
      <c r="K12" s="12"/>
      <c r="L12" s="11">
        <v>1</v>
      </c>
      <c r="M12" s="623">
        <f>6.331*2</f>
        <v>12.662000000000001</v>
      </c>
      <c r="N12" s="624">
        <f t="shared" si="0"/>
        <v>54.428968999999995</v>
      </c>
      <c r="O12" s="228" t="str">
        <f t="shared" si="1"/>
        <v>z/szwem 304</v>
      </c>
    </row>
    <row r="13" spans="2:15">
      <c r="B13" t="s">
        <v>238</v>
      </c>
      <c r="C13" s="226" t="s">
        <v>57</v>
      </c>
      <c r="D13" s="227"/>
      <c r="E13" s="11">
        <v>1.08</v>
      </c>
      <c r="F13" s="625">
        <v>36.79</v>
      </c>
      <c r="G13" s="12"/>
      <c r="H13" s="11">
        <v>0.6</v>
      </c>
      <c r="I13" s="625">
        <v>16.8</v>
      </c>
      <c r="J13" s="625">
        <v>12.87</v>
      </c>
      <c r="K13" s="12"/>
      <c r="L13" s="11">
        <v>1</v>
      </c>
      <c r="M13" s="623">
        <v>15.2</v>
      </c>
      <c r="N13" s="624">
        <f t="shared" si="0"/>
        <v>64.791713000000001</v>
      </c>
      <c r="O13" s="228" t="str">
        <f t="shared" si="1"/>
        <v>z/szwem 304</v>
      </c>
    </row>
    <row r="14" spans="2:15">
      <c r="B14" t="s">
        <v>239</v>
      </c>
      <c r="C14" s="226" t="s">
        <v>59</v>
      </c>
      <c r="D14" s="227"/>
      <c r="E14" s="11">
        <v>1.08</v>
      </c>
      <c r="F14" s="622">
        <v>46.75</v>
      </c>
      <c r="G14" s="24"/>
      <c r="H14" s="23">
        <v>0.6</v>
      </c>
      <c r="I14" s="622">
        <v>29.72</v>
      </c>
      <c r="J14" s="622">
        <v>19.78</v>
      </c>
      <c r="K14" s="12"/>
      <c r="L14" s="11">
        <v>1</v>
      </c>
      <c r="M14" s="623">
        <f>10.036*2</f>
        <v>20.071999999999999</v>
      </c>
      <c r="N14" s="624">
        <f t="shared" si="0"/>
        <v>86.693179999999998</v>
      </c>
      <c r="O14" s="228" t="str">
        <f t="shared" si="1"/>
        <v>z/szwem 304</v>
      </c>
    </row>
    <row r="15" spans="2:15">
      <c r="B15" t="s">
        <v>240</v>
      </c>
      <c r="C15" s="226" t="s">
        <v>60</v>
      </c>
      <c r="D15" s="227"/>
      <c r="E15" s="11">
        <v>1.06</v>
      </c>
      <c r="F15" s="622">
        <v>54.81</v>
      </c>
      <c r="G15" s="24"/>
      <c r="H15" s="23">
        <v>0.55000000000000004</v>
      </c>
      <c r="I15" s="622">
        <v>33.799999999999997</v>
      </c>
      <c r="J15" s="622">
        <v>24.95</v>
      </c>
      <c r="K15" s="12"/>
      <c r="L15" s="11">
        <v>1</v>
      </c>
      <c r="M15" s="623">
        <f>11.778*2</f>
        <v>23.556000000000001</v>
      </c>
      <c r="N15" s="624">
        <f t="shared" si="0"/>
        <v>99.278012749999988</v>
      </c>
      <c r="O15" s="228" t="str">
        <f t="shared" si="1"/>
        <v>z/szwem 304</v>
      </c>
    </row>
    <row r="16" spans="2:15">
      <c r="B16" t="s">
        <v>241</v>
      </c>
      <c r="C16" s="226" t="s">
        <v>62</v>
      </c>
      <c r="D16" s="227"/>
      <c r="E16" s="11">
        <v>1.06</v>
      </c>
      <c r="F16" s="622">
        <v>71.06</v>
      </c>
      <c r="G16" s="24"/>
      <c r="H16" s="23">
        <v>0.5</v>
      </c>
      <c r="I16" s="622">
        <v>52.19</v>
      </c>
      <c r="J16" s="622">
        <v>36.18</v>
      </c>
      <c r="K16" s="12"/>
      <c r="L16" s="11">
        <v>1</v>
      </c>
      <c r="M16" s="623">
        <v>27.5</v>
      </c>
      <c r="N16" s="624">
        <f t="shared" si="0"/>
        <v>126.78984150000001</v>
      </c>
      <c r="O16" s="228" t="str">
        <f t="shared" si="1"/>
        <v>z/szwem 304</v>
      </c>
    </row>
    <row r="17" spans="2:15">
      <c r="B17" t="s">
        <v>242</v>
      </c>
      <c r="C17" s="226" t="s">
        <v>63</v>
      </c>
      <c r="D17" s="227"/>
      <c r="E17" s="11">
        <v>1.05</v>
      </c>
      <c r="F17" s="625">
        <v>86.94</v>
      </c>
      <c r="G17" s="12"/>
      <c r="H17" s="11">
        <v>0.3</v>
      </c>
      <c r="I17" s="625">
        <v>95.57</v>
      </c>
      <c r="J17" s="625">
        <v>83.75</v>
      </c>
      <c r="K17" s="12"/>
      <c r="L17" s="11">
        <v>1</v>
      </c>
      <c r="M17" s="623">
        <v>29.18</v>
      </c>
      <c r="N17" s="624">
        <f t="shared" si="0"/>
        <v>149.57547499999998</v>
      </c>
      <c r="O17" s="228" t="str">
        <f t="shared" si="1"/>
        <v>z/szwem 304</v>
      </c>
    </row>
    <row r="18" spans="2:15">
      <c r="B18" t="s">
        <v>243</v>
      </c>
      <c r="C18" s="226" t="s">
        <v>66</v>
      </c>
      <c r="D18" s="227"/>
      <c r="E18" s="11">
        <v>1.05</v>
      </c>
      <c r="F18" s="625">
        <v>104.96</v>
      </c>
      <c r="G18" s="12"/>
      <c r="H18" s="11">
        <v>0.3</v>
      </c>
      <c r="I18" s="625">
        <v>116.16</v>
      </c>
      <c r="J18" s="625">
        <v>102.14</v>
      </c>
      <c r="K18" s="12"/>
      <c r="L18" s="11">
        <v>1</v>
      </c>
      <c r="M18" s="623">
        <v>35.369280000000003</v>
      </c>
      <c r="N18" s="624">
        <f t="shared" si="0"/>
        <v>180.9971142</v>
      </c>
      <c r="O18" s="228" t="str">
        <f t="shared" si="1"/>
        <v>z/szwem 304</v>
      </c>
    </row>
    <row r="19" spans="2:15">
      <c r="B19" t="s">
        <v>244</v>
      </c>
      <c r="C19" s="226" t="s">
        <v>121</v>
      </c>
      <c r="D19" s="227"/>
      <c r="E19" s="11">
        <v>1</v>
      </c>
      <c r="F19" s="625">
        <v>137.09</v>
      </c>
      <c r="G19" s="12"/>
      <c r="H19" s="11">
        <v>0.3</v>
      </c>
      <c r="I19" s="625">
        <v>209.48</v>
      </c>
      <c r="J19" s="625">
        <v>200.81</v>
      </c>
      <c r="K19" s="12"/>
      <c r="L19" s="11">
        <v>1</v>
      </c>
      <c r="M19" s="623">
        <v>41.593440000000001</v>
      </c>
      <c r="N19" s="624">
        <f t="shared" si="0"/>
        <v>243.83034409999999</v>
      </c>
      <c r="O19" s="228" t="str">
        <f t="shared" si="1"/>
        <v>z/szwem 304</v>
      </c>
    </row>
    <row r="20" spans="2:15">
      <c r="B20" t="s">
        <v>245</v>
      </c>
      <c r="C20" s="226" t="s">
        <v>122</v>
      </c>
      <c r="D20" s="227"/>
      <c r="E20" s="11">
        <v>1</v>
      </c>
      <c r="F20" s="626">
        <v>171.11</v>
      </c>
      <c r="G20" s="12"/>
      <c r="H20" s="11">
        <v>0.3</v>
      </c>
      <c r="I20" s="626">
        <v>352</v>
      </c>
      <c r="J20" s="627">
        <v>358.5</v>
      </c>
      <c r="K20" s="12"/>
      <c r="L20" s="11">
        <v>1</v>
      </c>
      <c r="M20" s="628">
        <v>73.196640000000002</v>
      </c>
      <c r="N20" s="624">
        <f t="shared" si="0"/>
        <v>356.14486459999995</v>
      </c>
      <c r="O20" s="228" t="str">
        <f t="shared" si="1"/>
        <v>z/szwem 304</v>
      </c>
    </row>
    <row r="21" spans="2:15">
      <c r="B21" t="s">
        <v>246</v>
      </c>
      <c r="C21" s="226" t="s">
        <v>156</v>
      </c>
      <c r="D21" s="227"/>
      <c r="E21" s="11">
        <v>1</v>
      </c>
      <c r="F21" s="625">
        <v>303.79000000000002</v>
      </c>
      <c r="G21" s="12"/>
      <c r="H21" s="11">
        <v>0.3</v>
      </c>
      <c r="I21" s="625">
        <v>627.20000000000005</v>
      </c>
      <c r="J21" s="629">
        <v>836.22</v>
      </c>
      <c r="K21" s="12"/>
      <c r="L21" s="11">
        <v>1</v>
      </c>
      <c r="M21" s="623">
        <v>84.611999999999995</v>
      </c>
      <c r="N21" s="624">
        <f>(E21*(F21-F21*G21)+H21*((I21+J21)-(I21+J21)*K21)/2+L21*M21)*1.015</f>
        <v>617.03372499999989</v>
      </c>
      <c r="O21" s="228" t="str">
        <f t="shared" si="1"/>
        <v>z/szwem 304</v>
      </c>
    </row>
    <row r="22" spans="2:15">
      <c r="B22" t="s">
        <v>247</v>
      </c>
      <c r="C22" s="226" t="s">
        <v>158</v>
      </c>
      <c r="D22" s="227"/>
      <c r="E22" s="11">
        <v>1</v>
      </c>
      <c r="F22" s="625">
        <v>333.77</v>
      </c>
      <c r="G22" s="12"/>
      <c r="H22" s="11">
        <v>0.3</v>
      </c>
      <c r="I22" s="625">
        <v>972.8</v>
      </c>
      <c r="J22" s="629">
        <v>820.7</v>
      </c>
      <c r="K22" s="12"/>
      <c r="L22" s="11">
        <v>1</v>
      </c>
      <c r="M22" s="623">
        <v>111.683808</v>
      </c>
      <c r="N22" s="624">
        <f>(E22*(F22-F22*G22)+H22*((I22+J22)-(I22+J22)*K22)/2+L22*M22)*1.015</f>
        <v>725.19599011999992</v>
      </c>
      <c r="O22" s="228" t="str">
        <f t="shared" si="1"/>
        <v>z/szwem 304</v>
      </c>
    </row>
    <row r="23" spans="2:15">
      <c r="B23" t="s">
        <v>248</v>
      </c>
      <c r="C23" s="226" t="s">
        <v>176</v>
      </c>
      <c r="D23" s="227"/>
      <c r="E23" s="11">
        <v>1</v>
      </c>
      <c r="F23" s="625">
        <v>381.91</v>
      </c>
      <c r="G23" s="12"/>
      <c r="H23" s="11">
        <v>0.3</v>
      </c>
      <c r="I23" s="625">
        <v>1075.2</v>
      </c>
      <c r="J23" s="629">
        <v>1111.23</v>
      </c>
      <c r="K23" s="12"/>
      <c r="L23" s="11">
        <v>1</v>
      </c>
      <c r="M23" s="623">
        <v>155.71200000000002</v>
      </c>
      <c r="N23" s="624">
        <f>(E23*(F23-F23*G23)+H23*((I23+J23)-(I23+J23)*K23)/2+L23*M23)*1.015</f>
        <v>878.57029750000004</v>
      </c>
      <c r="O23" s="228" t="str">
        <f t="shared" si="1"/>
        <v>z/szwem 304</v>
      </c>
    </row>
    <row r="24" spans="2:15">
      <c r="B24" t="s">
        <v>249</v>
      </c>
      <c r="C24" s="226" t="s">
        <v>178</v>
      </c>
      <c r="D24" s="227"/>
      <c r="E24" s="11">
        <v>1</v>
      </c>
      <c r="F24" s="625">
        <v>478.42</v>
      </c>
      <c r="G24" s="12"/>
      <c r="H24" s="11">
        <v>0.3</v>
      </c>
      <c r="I24" s="625">
        <v>832</v>
      </c>
      <c r="J24" s="629">
        <v>2896.04</v>
      </c>
      <c r="K24" s="12"/>
      <c r="L24" s="11">
        <v>1</v>
      </c>
      <c r="M24" s="623">
        <v>254.90063999999998</v>
      </c>
      <c r="N24" s="624">
        <f>(E24*(F24-F24*G24)+H24*((I24+J24)-(I24+J24)*K24)/2+L24*M24)*1.015</f>
        <v>1311.9145395999999</v>
      </c>
      <c r="O24" s="228" t="str">
        <f t="shared" si="1"/>
        <v>z/szwem 304</v>
      </c>
    </row>
    <row r="25" spans="2:15">
      <c r="B25" t="s">
        <v>250</v>
      </c>
      <c r="C25" s="226" t="s">
        <v>190</v>
      </c>
      <c r="D25" s="227"/>
      <c r="E25" s="11">
        <v>1</v>
      </c>
      <c r="F25" s="625">
        <v>758.02</v>
      </c>
      <c r="G25" s="12"/>
      <c r="H25" s="11">
        <v>0.3</v>
      </c>
      <c r="I25" s="625">
        <v>5376</v>
      </c>
      <c r="J25" s="629">
        <v>5785</v>
      </c>
      <c r="K25" s="12"/>
      <c r="L25" s="11">
        <v>1</v>
      </c>
      <c r="M25" s="623">
        <v>635.62560000000008</v>
      </c>
      <c r="N25" s="624">
        <f>(E25*(F25-F25*G25)+H25*((I25+J25)-(I25+J25)*K25)/2+L25*M25)*1.015</f>
        <v>3113.8125340000001</v>
      </c>
      <c r="O25" s="228" t="str">
        <f t="shared" si="1"/>
        <v>z/szwem 304</v>
      </c>
    </row>
    <row r="26" spans="2:15">
      <c r="O26" s="228"/>
    </row>
    <row r="29" spans="2:15">
      <c r="C29" s="617" t="s">
        <v>1367</v>
      </c>
    </row>
    <row r="30" spans="2:15" ht="15.75" thickBot="1">
      <c r="C30" s="28" t="s">
        <v>1368</v>
      </c>
      <c r="D30" s="28"/>
      <c r="E30" s="28"/>
      <c r="F30" s="28"/>
      <c r="N30" s="618"/>
    </row>
    <row r="31" spans="2:15">
      <c r="C31" s="240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619"/>
    </row>
    <row r="32" spans="2:15">
      <c r="C32" s="277"/>
      <c r="N32" s="620"/>
    </row>
    <row r="33" spans="2:15">
      <c r="C33" s="273"/>
      <c r="N33" s="620"/>
    </row>
    <row r="34" spans="2:15">
      <c r="C34" s="273" t="s">
        <v>769</v>
      </c>
      <c r="D34" t="s">
        <v>769</v>
      </c>
      <c r="E34" t="s">
        <v>611</v>
      </c>
      <c r="F34" t="s">
        <v>612</v>
      </c>
      <c r="G34" t="s">
        <v>613</v>
      </c>
      <c r="H34" t="s">
        <v>611</v>
      </c>
      <c r="I34" t="s">
        <v>614</v>
      </c>
      <c r="J34" t="s">
        <v>615</v>
      </c>
      <c r="K34" t="s">
        <v>613</v>
      </c>
      <c r="L34" t="s">
        <v>611</v>
      </c>
      <c r="M34" t="s">
        <v>616</v>
      </c>
      <c r="N34" s="620" t="s">
        <v>617</v>
      </c>
    </row>
    <row r="35" spans="2:15">
      <c r="B35" t="s">
        <v>238</v>
      </c>
      <c r="C35" s="226" t="s">
        <v>57</v>
      </c>
      <c r="D35" s="227"/>
      <c r="E35" s="11">
        <v>1.08</v>
      </c>
      <c r="F35" s="623">
        <v>37</v>
      </c>
      <c r="G35" s="12"/>
      <c r="H35" s="11">
        <v>0.6</v>
      </c>
      <c r="I35" s="623">
        <v>22</v>
      </c>
      <c r="J35" s="623">
        <v>19.55</v>
      </c>
      <c r="K35" s="12"/>
      <c r="L35" s="11">
        <v>1</v>
      </c>
      <c r="M35" s="623">
        <v>9.9417500000000008</v>
      </c>
      <c r="N35" s="624">
        <f t="shared" ref="N35:N41" si="2">(E35*(F35-F35*G35)+H35*((I35+J35)-(I35+J35)*K35)/2+L35*M35)*1.015</f>
        <v>63.302251249999991</v>
      </c>
      <c r="O35" s="228" t="s">
        <v>1369</v>
      </c>
    </row>
    <row r="36" spans="2:15">
      <c r="B36" t="s">
        <v>252</v>
      </c>
      <c r="C36" s="226" t="s">
        <v>59</v>
      </c>
      <c r="D36" s="227"/>
      <c r="E36" s="11">
        <v>1.08</v>
      </c>
      <c r="F36" s="623">
        <v>48</v>
      </c>
      <c r="G36" s="12"/>
      <c r="H36" s="11">
        <v>0.6</v>
      </c>
      <c r="I36" s="630">
        <v>40</v>
      </c>
      <c r="J36" s="623">
        <v>35.700000000000003</v>
      </c>
      <c r="K36" s="12"/>
      <c r="L36" s="11">
        <v>1</v>
      </c>
      <c r="M36" s="623">
        <v>11.541399999999999</v>
      </c>
      <c r="N36" s="624">
        <f t="shared" si="2"/>
        <v>87.382771000000005</v>
      </c>
      <c r="O36" s="228" t="s">
        <v>1369</v>
      </c>
    </row>
    <row r="37" spans="2:15">
      <c r="B37" t="s">
        <v>253</v>
      </c>
      <c r="C37" s="226" t="s">
        <v>60</v>
      </c>
      <c r="D37" s="227"/>
      <c r="E37" s="11">
        <v>1.06</v>
      </c>
      <c r="F37" s="623">
        <v>61</v>
      </c>
      <c r="G37" s="12"/>
      <c r="H37" s="11">
        <v>0.55000000000000004</v>
      </c>
      <c r="I37" s="623">
        <v>49</v>
      </c>
      <c r="J37" s="623">
        <v>43.55</v>
      </c>
      <c r="K37" s="12"/>
      <c r="L37" s="11">
        <v>1</v>
      </c>
      <c r="M37" s="623">
        <v>13.544699999999999</v>
      </c>
      <c r="N37" s="624">
        <f t="shared" si="2"/>
        <v>105.21078924999998</v>
      </c>
      <c r="O37" s="228" t="s">
        <v>1369</v>
      </c>
    </row>
    <row r="38" spans="2:15">
      <c r="B38" t="s">
        <v>254</v>
      </c>
      <c r="C38" s="226" t="s">
        <v>62</v>
      </c>
      <c r="D38" s="227"/>
      <c r="E38" s="11">
        <v>1.06</v>
      </c>
      <c r="F38" s="623">
        <v>104.8</v>
      </c>
      <c r="G38" s="12"/>
      <c r="H38" s="11">
        <v>0.5</v>
      </c>
      <c r="I38" s="623">
        <v>64</v>
      </c>
      <c r="J38" s="623">
        <v>71.8</v>
      </c>
      <c r="K38" s="12"/>
      <c r="L38" s="11">
        <v>1</v>
      </c>
      <c r="M38" s="623">
        <v>17.86525</v>
      </c>
      <c r="N38" s="624">
        <f t="shared" si="2"/>
        <v>165.34679875</v>
      </c>
      <c r="O38" s="228" t="s">
        <v>1369</v>
      </c>
    </row>
    <row r="39" spans="2:15">
      <c r="B39" t="s">
        <v>255</v>
      </c>
      <c r="C39" s="226" t="s">
        <v>66</v>
      </c>
      <c r="D39" s="227"/>
      <c r="E39" s="11">
        <v>1.05</v>
      </c>
      <c r="F39" s="623">
        <v>159</v>
      </c>
      <c r="G39" s="12"/>
      <c r="H39" s="11">
        <v>0.3</v>
      </c>
      <c r="I39" s="623">
        <v>170</v>
      </c>
      <c r="J39" s="623">
        <v>274</v>
      </c>
      <c r="K39" s="12"/>
      <c r="L39" s="11">
        <v>1</v>
      </c>
      <c r="M39" s="623">
        <v>31.164999999999999</v>
      </c>
      <c r="N39" s="624">
        <f t="shared" si="2"/>
        <v>268.68572499999999</v>
      </c>
      <c r="O39" s="228" t="s">
        <v>1369</v>
      </c>
    </row>
    <row r="40" spans="2:15">
      <c r="B40" t="s">
        <v>256</v>
      </c>
      <c r="C40" s="226" t="s">
        <v>121</v>
      </c>
      <c r="D40" s="227"/>
      <c r="E40" s="11">
        <v>1</v>
      </c>
      <c r="F40" s="623">
        <v>190</v>
      </c>
      <c r="G40" s="12"/>
      <c r="H40" s="11">
        <v>0.3</v>
      </c>
      <c r="I40" s="623">
        <v>395</v>
      </c>
      <c r="J40" s="623">
        <v>528</v>
      </c>
      <c r="K40" s="12"/>
      <c r="L40" s="11">
        <v>1</v>
      </c>
      <c r="M40" s="623">
        <v>50.438999999999993</v>
      </c>
      <c r="N40" s="624">
        <f t="shared" si="2"/>
        <v>384.57233499999995</v>
      </c>
      <c r="O40" s="228" t="s">
        <v>1369</v>
      </c>
    </row>
    <row r="41" spans="2:15">
      <c r="B41" t="s">
        <v>257</v>
      </c>
      <c r="C41" s="226" t="s">
        <v>122</v>
      </c>
      <c r="D41" s="227"/>
      <c r="E41" s="11">
        <v>1</v>
      </c>
      <c r="F41" s="623">
        <v>259</v>
      </c>
      <c r="G41" s="12"/>
      <c r="H41" s="11">
        <v>0.3</v>
      </c>
      <c r="I41" s="623">
        <v>493</v>
      </c>
      <c r="J41" s="631">
        <v>710</v>
      </c>
      <c r="K41" s="12"/>
      <c r="L41" s="11">
        <v>1</v>
      </c>
      <c r="M41" s="623">
        <v>65.917999999999992</v>
      </c>
      <c r="N41" s="624">
        <f t="shared" si="2"/>
        <v>512.94851999999992</v>
      </c>
      <c r="O41" s="228" t="s">
        <v>1369</v>
      </c>
    </row>
    <row r="43" spans="2:15" ht="15.75" thickBot="1"/>
    <row r="44" spans="2:15" ht="15.75" thickBot="1">
      <c r="C44" s="948" t="s">
        <v>1370</v>
      </c>
      <c r="D44" s="949"/>
      <c r="E44" s="949"/>
      <c r="F44" s="949"/>
      <c r="G44" s="949"/>
      <c r="H44" s="949"/>
      <c r="I44" s="949"/>
      <c r="J44" s="949"/>
      <c r="K44" s="949"/>
      <c r="L44" s="949"/>
      <c r="M44" s="949"/>
      <c r="N44" s="950"/>
    </row>
    <row r="45" spans="2:15">
      <c r="C45" s="617" t="s">
        <v>1371</v>
      </c>
    </row>
    <row r="46" spans="2:15" ht="15.75" thickBot="1">
      <c r="C46" s="28" t="s">
        <v>1372</v>
      </c>
      <c r="D46" s="28"/>
      <c r="E46" s="28"/>
      <c r="F46" s="28"/>
      <c r="N46" s="618"/>
    </row>
    <row r="47" spans="2:15">
      <c r="C47" s="240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619"/>
    </row>
    <row r="48" spans="2:15">
      <c r="C48" s="277"/>
      <c r="N48" s="620"/>
    </row>
    <row r="49" spans="2:15">
      <c r="C49" s="273"/>
      <c r="N49" s="620"/>
    </row>
    <row r="50" spans="2:15">
      <c r="C50" s="273" t="s">
        <v>769</v>
      </c>
      <c r="D50" t="s">
        <v>769</v>
      </c>
      <c r="E50" t="s">
        <v>611</v>
      </c>
      <c r="F50" t="s">
        <v>612</v>
      </c>
      <c r="G50" t="s">
        <v>613</v>
      </c>
      <c r="H50" t="s">
        <v>611</v>
      </c>
      <c r="I50" t="s">
        <v>614</v>
      </c>
      <c r="J50" t="s">
        <v>615</v>
      </c>
      <c r="K50" t="s">
        <v>613</v>
      </c>
      <c r="L50" t="s">
        <v>611</v>
      </c>
      <c r="M50" t="s">
        <v>616</v>
      </c>
      <c r="N50" s="620" t="s">
        <v>617</v>
      </c>
    </row>
    <row r="51" spans="2:15">
      <c r="B51" t="s">
        <v>1373</v>
      </c>
      <c r="C51" s="226" t="s">
        <v>57</v>
      </c>
      <c r="D51" s="227"/>
      <c r="E51" s="11">
        <v>1.08</v>
      </c>
      <c r="F51" s="623">
        <v>286</v>
      </c>
      <c r="G51" s="12"/>
      <c r="H51" s="11">
        <v>0.6</v>
      </c>
      <c r="I51" s="623">
        <v>79</v>
      </c>
      <c r="J51" s="623">
        <v>118</v>
      </c>
      <c r="K51" s="12"/>
      <c r="L51" s="11">
        <v>1</v>
      </c>
      <c r="M51" s="623">
        <v>9.9417500000000008</v>
      </c>
      <c r="N51" s="624">
        <f t="shared" ref="N51:N58" si="3">(E51*(F51-F51*G51)+H51*((I51+J51)-(I51+J51)*K51)/2+L51*M51)*1.015</f>
        <v>383.59057624999997</v>
      </c>
      <c r="O51" t="s">
        <v>1374</v>
      </c>
    </row>
    <row r="52" spans="2:15">
      <c r="B52" t="s">
        <v>1375</v>
      </c>
      <c r="C52" s="226" t="s">
        <v>59</v>
      </c>
      <c r="D52" s="227"/>
      <c r="E52" s="11">
        <v>1.08</v>
      </c>
      <c r="F52" s="623">
        <v>328</v>
      </c>
      <c r="G52" s="12"/>
      <c r="H52" s="11">
        <v>0.6</v>
      </c>
      <c r="I52" s="630">
        <v>136.78</v>
      </c>
      <c r="J52" s="623">
        <v>172</v>
      </c>
      <c r="K52" s="12"/>
      <c r="L52" s="11">
        <v>1</v>
      </c>
      <c r="M52" s="623">
        <v>11.541399999999999</v>
      </c>
      <c r="N52" s="624">
        <f t="shared" si="3"/>
        <v>465.291631</v>
      </c>
      <c r="O52" t="s">
        <v>1374</v>
      </c>
    </row>
    <row r="53" spans="2:15">
      <c r="B53" t="s">
        <v>1376</v>
      </c>
      <c r="C53" s="226" t="s">
        <v>60</v>
      </c>
      <c r="D53" s="227"/>
      <c r="E53" s="11">
        <v>1.06</v>
      </c>
      <c r="F53" s="623">
        <v>422</v>
      </c>
      <c r="G53" s="12"/>
      <c r="H53" s="11">
        <v>0.55000000000000004</v>
      </c>
      <c r="I53" s="623">
        <v>141.80000000000001</v>
      </c>
      <c r="J53" s="623">
        <v>445</v>
      </c>
      <c r="K53" s="12"/>
      <c r="L53" s="11">
        <v>1</v>
      </c>
      <c r="M53" s="623">
        <v>13.544699999999999</v>
      </c>
      <c r="N53" s="624">
        <f t="shared" si="3"/>
        <v>631.56822050000005</v>
      </c>
      <c r="O53" t="s">
        <v>1374</v>
      </c>
    </row>
    <row r="54" spans="2:15">
      <c r="B54" t="s">
        <v>1377</v>
      </c>
      <c r="C54" s="226" t="s">
        <v>62</v>
      </c>
      <c r="D54" s="227"/>
      <c r="E54" s="11">
        <v>1.06</v>
      </c>
      <c r="F54" s="623">
        <v>522</v>
      </c>
      <c r="G54" s="12"/>
      <c r="H54" s="11">
        <v>0.5</v>
      </c>
      <c r="I54" s="623">
        <v>201</v>
      </c>
      <c r="J54" s="623">
        <v>372</v>
      </c>
      <c r="K54" s="12"/>
      <c r="L54" s="11">
        <v>1</v>
      </c>
      <c r="M54" s="623">
        <v>17.86525</v>
      </c>
      <c r="N54" s="624">
        <f t="shared" si="3"/>
        <v>725.15177874999995</v>
      </c>
      <c r="O54" t="s">
        <v>1374</v>
      </c>
    </row>
    <row r="55" spans="2:15">
      <c r="B55" t="s">
        <v>1378</v>
      </c>
      <c r="C55" s="226" t="s">
        <v>63</v>
      </c>
      <c r="D55" s="227"/>
      <c r="E55" s="11">
        <v>1.05</v>
      </c>
      <c r="F55" s="623">
        <v>739</v>
      </c>
      <c r="G55" s="12"/>
      <c r="H55" s="11">
        <v>0.3</v>
      </c>
      <c r="I55" s="623">
        <v>503</v>
      </c>
      <c r="J55" s="623">
        <v>562</v>
      </c>
      <c r="K55" s="12"/>
      <c r="L55" s="11">
        <v>1</v>
      </c>
      <c r="M55" s="623">
        <v>23.172499999999999</v>
      </c>
      <c r="N55" s="624">
        <f t="shared" si="3"/>
        <v>973.25558749999993</v>
      </c>
      <c r="O55" t="s">
        <v>1374</v>
      </c>
    </row>
    <row r="56" spans="2:15">
      <c r="B56" t="s">
        <v>1379</v>
      </c>
      <c r="C56" s="226" t="s">
        <v>66</v>
      </c>
      <c r="D56" s="227"/>
      <c r="E56" s="11">
        <v>1.05</v>
      </c>
      <c r="F56" s="623">
        <v>865</v>
      </c>
      <c r="G56" s="12"/>
      <c r="H56" s="11">
        <v>0.3</v>
      </c>
      <c r="I56" s="623">
        <v>509</v>
      </c>
      <c r="J56" s="623">
        <v>834</v>
      </c>
      <c r="K56" s="12"/>
      <c r="L56" s="11">
        <v>1</v>
      </c>
      <c r="M56" s="623">
        <v>31.164999999999999</v>
      </c>
      <c r="N56" s="624">
        <f t="shared" si="3"/>
        <v>1157.9779749999998</v>
      </c>
      <c r="O56" t="s">
        <v>1374</v>
      </c>
    </row>
    <row r="57" spans="2:15">
      <c r="B57" t="s">
        <v>1380</v>
      </c>
      <c r="C57" s="226" t="s">
        <v>121</v>
      </c>
      <c r="D57" s="227"/>
      <c r="E57" s="11">
        <v>1</v>
      </c>
      <c r="F57" s="623">
        <v>1714.9</v>
      </c>
      <c r="G57" s="12"/>
      <c r="H57" s="11">
        <v>0.3</v>
      </c>
      <c r="I57" s="623">
        <v>979.8</v>
      </c>
      <c r="J57" s="623">
        <v>2083.9</v>
      </c>
      <c r="K57" s="12"/>
      <c r="L57" s="11">
        <v>1</v>
      </c>
      <c r="M57" s="623">
        <v>50.438999999999993</v>
      </c>
      <c r="N57" s="624">
        <f t="shared" si="3"/>
        <v>2258.2674099999995</v>
      </c>
      <c r="O57" t="s">
        <v>1374</v>
      </c>
    </row>
    <row r="58" spans="2:15">
      <c r="B58" t="s">
        <v>1381</v>
      </c>
      <c r="C58" s="226" t="s">
        <v>122</v>
      </c>
      <c r="D58" s="227"/>
      <c r="E58" s="11">
        <v>1</v>
      </c>
      <c r="F58" s="623">
        <v>4590</v>
      </c>
      <c r="G58" s="12"/>
      <c r="H58" s="11">
        <v>0.3</v>
      </c>
      <c r="I58" s="623">
        <v>4220</v>
      </c>
      <c r="J58" s="631">
        <v>2980</v>
      </c>
      <c r="K58" s="12"/>
      <c r="L58" s="11">
        <v>1</v>
      </c>
      <c r="M58" s="623">
        <v>65.917999999999992</v>
      </c>
      <c r="N58" s="624">
        <f t="shared" si="3"/>
        <v>5821.9567699999989</v>
      </c>
      <c r="O58" t="s">
        <v>1374</v>
      </c>
    </row>
    <row r="62" spans="2:15">
      <c r="C62" s="617" t="s">
        <v>1367</v>
      </c>
    </row>
    <row r="63" spans="2:15" ht="15.75" thickBot="1">
      <c r="C63" s="28" t="s">
        <v>1382</v>
      </c>
      <c r="D63" s="28"/>
      <c r="E63" s="28"/>
      <c r="F63" s="28"/>
      <c r="N63" s="618"/>
    </row>
    <row r="64" spans="2:15">
      <c r="C64" s="240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619"/>
    </row>
    <row r="65" spans="2:15">
      <c r="C65" s="277"/>
      <c r="N65" s="620"/>
    </row>
    <row r="66" spans="2:15">
      <c r="C66" s="273"/>
      <c r="N66" s="620"/>
    </row>
    <row r="67" spans="2:15">
      <c r="C67" s="273" t="s">
        <v>769</v>
      </c>
      <c r="D67" t="s">
        <v>769</v>
      </c>
      <c r="E67" t="s">
        <v>611</v>
      </c>
      <c r="F67" t="s">
        <v>612</v>
      </c>
      <c r="G67" t="s">
        <v>613</v>
      </c>
      <c r="H67" t="s">
        <v>611</v>
      </c>
      <c r="I67" t="s">
        <v>614</v>
      </c>
      <c r="J67" t="s">
        <v>615</v>
      </c>
      <c r="K67" t="s">
        <v>613</v>
      </c>
      <c r="L67" t="s">
        <v>611</v>
      </c>
      <c r="M67" t="s">
        <v>616</v>
      </c>
      <c r="N67" s="620" t="s">
        <v>617</v>
      </c>
    </row>
    <row r="68" spans="2:15">
      <c r="C68" s="273"/>
      <c r="N68" s="620"/>
    </row>
    <row r="69" spans="2:15">
      <c r="C69" s="273"/>
      <c r="N69" s="620"/>
    </row>
    <row r="70" spans="2:15">
      <c r="C70" s="273"/>
      <c r="N70" s="620"/>
    </row>
    <row r="71" spans="2:15">
      <c r="B71" t="s">
        <v>233</v>
      </c>
      <c r="C71" s="226" t="s">
        <v>47</v>
      </c>
      <c r="E71" s="11">
        <v>1.08</v>
      </c>
      <c r="F71" s="631">
        <f>35.46*1.1</f>
        <v>39.006000000000007</v>
      </c>
      <c r="G71" s="12"/>
      <c r="H71" s="11">
        <v>1</v>
      </c>
      <c r="I71" s="631">
        <f>20*1.1</f>
        <v>22</v>
      </c>
      <c r="J71" s="631">
        <f>9*1.1</f>
        <v>9.9</v>
      </c>
      <c r="K71" s="12"/>
      <c r="L71" s="11">
        <v>1</v>
      </c>
      <c r="M71" s="631">
        <v>2.9899999999999998</v>
      </c>
      <c r="N71" s="3">
        <f>(E71*(F71-F71*G71)+H71*((I71+J71)-(I71+J71)*K71)/2+L71*M71)*1.015</f>
        <v>61.982477199999998</v>
      </c>
      <c r="O71" t="s">
        <v>1383</v>
      </c>
    </row>
    <row r="72" spans="2:15">
      <c r="B72" t="s">
        <v>234</v>
      </c>
      <c r="C72" s="226" t="s">
        <v>49</v>
      </c>
      <c r="E72" s="11">
        <v>1.08</v>
      </c>
      <c r="F72" s="631">
        <f>42*1.1</f>
        <v>46.2</v>
      </c>
      <c r="G72" s="12"/>
      <c r="H72" s="11">
        <v>1</v>
      </c>
      <c r="I72" s="631">
        <f>22*1.1</f>
        <v>24.200000000000003</v>
      </c>
      <c r="J72" s="631">
        <f>11.5*1.1</f>
        <v>12.65</v>
      </c>
      <c r="K72" s="12"/>
      <c r="L72" s="11">
        <v>1</v>
      </c>
      <c r="M72" s="631">
        <v>3.5879999999999996</v>
      </c>
      <c r="N72" s="3">
        <f>(E72*(F72-F72*G72)+H72*((I72+J72)-(I72+J72)*K72)/2+L72*M72)*1.015</f>
        <v>72.987634999999997</v>
      </c>
      <c r="O72" t="str">
        <f>O71</f>
        <v>b/szwu 304</v>
      </c>
    </row>
    <row r="73" spans="2:15">
      <c r="C73" s="226"/>
      <c r="E73" s="11"/>
      <c r="F73" s="631"/>
      <c r="G73" s="12"/>
      <c r="H73" s="11"/>
      <c r="I73" s="631"/>
      <c r="J73" s="631"/>
      <c r="K73" s="12"/>
      <c r="L73" s="11"/>
      <c r="M73" s="631"/>
      <c r="N73" s="3"/>
    </row>
    <row r="74" spans="2:15">
      <c r="B74" t="s">
        <v>237</v>
      </c>
      <c r="C74" s="226" t="s">
        <v>55</v>
      </c>
      <c r="E74" s="11">
        <v>1.08</v>
      </c>
      <c r="F74" s="631">
        <f>95*1.1</f>
        <v>104.50000000000001</v>
      </c>
      <c r="G74" s="12"/>
      <c r="H74" s="11">
        <v>0.9</v>
      </c>
      <c r="I74" s="631">
        <f>41*1.1</f>
        <v>45.1</v>
      </c>
      <c r="J74" s="631">
        <f>18.9*1.1</f>
        <v>20.79</v>
      </c>
      <c r="K74" s="12"/>
      <c r="L74" s="11">
        <v>1</v>
      </c>
      <c r="M74" s="631">
        <v>7.2806499999999996</v>
      </c>
      <c r="N74" s="3">
        <f>(E74*(F74-F74*G74)+H74*((I74+J74)-(I74+J74)*K74)/2+L74*M74)*1.015</f>
        <v>152.03801725000002</v>
      </c>
      <c r="O74" t="str">
        <f>O72</f>
        <v>b/szwu 304</v>
      </c>
    </row>
    <row r="75" spans="2:15">
      <c r="B75" t="s">
        <v>238</v>
      </c>
      <c r="C75" s="226" t="s">
        <v>57</v>
      </c>
      <c r="D75" s="227"/>
      <c r="E75" s="11">
        <v>1.08</v>
      </c>
      <c r="F75" s="623">
        <v>150.44999999999999</v>
      </c>
      <c r="G75" s="12"/>
      <c r="H75" s="11">
        <v>0.6</v>
      </c>
      <c r="I75" s="623">
        <v>22</v>
      </c>
      <c r="J75" s="623">
        <v>19.55</v>
      </c>
      <c r="K75" s="12"/>
      <c r="L75" s="11">
        <v>1</v>
      </c>
      <c r="M75" s="623">
        <v>9.9417500000000008</v>
      </c>
      <c r="N75" s="624">
        <f t="shared" ref="N75:N82" si="4">(E75*(F75-F75*G75)+H75*((I75+J75)-(I75+J75)*K75)/2+L75*M75)*1.015</f>
        <v>187.66614124999998</v>
      </c>
      <c r="O75" t="str">
        <f t="shared" ref="O75:O82" si="5">O74</f>
        <v>b/szwu 304</v>
      </c>
    </row>
    <row r="76" spans="2:15">
      <c r="B76" t="s">
        <v>252</v>
      </c>
      <c r="C76" s="226" t="s">
        <v>59</v>
      </c>
      <c r="D76" s="227"/>
      <c r="E76" s="11">
        <v>1.08</v>
      </c>
      <c r="F76" s="623">
        <v>228</v>
      </c>
      <c r="G76" s="12"/>
      <c r="H76" s="11">
        <v>0.6</v>
      </c>
      <c r="I76" s="630">
        <v>40</v>
      </c>
      <c r="J76" s="623">
        <v>35.700000000000003</v>
      </c>
      <c r="K76" s="12"/>
      <c r="L76" s="11">
        <v>1</v>
      </c>
      <c r="M76" s="623">
        <v>11.541399999999999</v>
      </c>
      <c r="N76" s="624">
        <f t="shared" si="4"/>
        <v>284.69877099999997</v>
      </c>
      <c r="O76" t="str">
        <f t="shared" si="5"/>
        <v>b/szwu 304</v>
      </c>
    </row>
    <row r="77" spans="2:15">
      <c r="B77" t="s">
        <v>253</v>
      </c>
      <c r="C77" s="226" t="s">
        <v>60</v>
      </c>
      <c r="D77" s="227"/>
      <c r="E77" s="11">
        <v>1.06</v>
      </c>
      <c r="F77" s="623">
        <v>254</v>
      </c>
      <c r="G77" s="12"/>
      <c r="H77" s="11">
        <v>0.55000000000000004</v>
      </c>
      <c r="I77" s="623">
        <v>49</v>
      </c>
      <c r="J77" s="623">
        <v>43.55</v>
      </c>
      <c r="K77" s="12"/>
      <c r="L77" s="11">
        <v>1</v>
      </c>
      <c r="M77" s="623">
        <v>13.544699999999999</v>
      </c>
      <c r="N77" s="624">
        <f t="shared" si="4"/>
        <v>312.85948924999997</v>
      </c>
      <c r="O77" t="str">
        <f t="shared" si="5"/>
        <v>b/szwu 304</v>
      </c>
    </row>
    <row r="78" spans="2:15">
      <c r="B78" t="s">
        <v>254</v>
      </c>
      <c r="C78" s="226" t="s">
        <v>62</v>
      </c>
      <c r="D78" s="227"/>
      <c r="E78" s="11">
        <v>1.06</v>
      </c>
      <c r="F78" s="623">
        <v>337.9</v>
      </c>
      <c r="G78" s="12"/>
      <c r="H78" s="11">
        <v>0.5</v>
      </c>
      <c r="I78" s="623">
        <v>64</v>
      </c>
      <c r="J78" s="623">
        <v>71.8</v>
      </c>
      <c r="K78" s="12"/>
      <c r="L78" s="11">
        <v>1</v>
      </c>
      <c r="M78" s="623">
        <v>17.86525</v>
      </c>
      <c r="N78" s="624">
        <f t="shared" si="4"/>
        <v>416.13908874999993</v>
      </c>
      <c r="O78" t="str">
        <f t="shared" si="5"/>
        <v>b/szwu 304</v>
      </c>
    </row>
    <row r="79" spans="2:15">
      <c r="C79" s="226"/>
      <c r="D79" s="227"/>
      <c r="E79" s="11"/>
      <c r="F79" s="623"/>
      <c r="G79" s="12"/>
      <c r="H79" s="11"/>
      <c r="I79" s="623"/>
      <c r="J79" s="623"/>
      <c r="K79" s="12"/>
      <c r="L79" s="11"/>
      <c r="M79" s="623"/>
      <c r="N79" s="624"/>
    </row>
    <row r="80" spans="2:15">
      <c r="B80" t="s">
        <v>255</v>
      </c>
      <c r="C80" s="226" t="s">
        <v>66</v>
      </c>
      <c r="D80" s="227"/>
      <c r="E80" s="11">
        <v>1.05</v>
      </c>
      <c r="F80" s="623">
        <v>875</v>
      </c>
      <c r="G80" s="12"/>
      <c r="H80" s="11">
        <v>0.3</v>
      </c>
      <c r="I80" s="623">
        <v>170</v>
      </c>
      <c r="J80" s="623">
        <v>274</v>
      </c>
      <c r="K80" s="12"/>
      <c r="L80" s="11">
        <v>1</v>
      </c>
      <c r="M80" s="623">
        <v>31.164999999999999</v>
      </c>
      <c r="N80" s="624">
        <f t="shared" si="4"/>
        <v>1031.7627249999998</v>
      </c>
      <c r="O80" t="str">
        <f>O78</f>
        <v>b/szwu 304</v>
      </c>
    </row>
    <row r="81" spans="2:15">
      <c r="B81" t="s">
        <v>256</v>
      </c>
      <c r="C81" s="226" t="s">
        <v>121</v>
      </c>
      <c r="D81" s="227"/>
      <c r="E81" s="11">
        <v>1</v>
      </c>
      <c r="F81" s="623">
        <v>1710</v>
      </c>
      <c r="G81" s="12"/>
      <c r="H81" s="11">
        <v>0.3</v>
      </c>
      <c r="I81" s="623">
        <v>395</v>
      </c>
      <c r="J81" s="623">
        <v>528</v>
      </c>
      <c r="K81" s="12"/>
      <c r="L81" s="11">
        <v>1</v>
      </c>
      <c r="M81" s="623">
        <v>50.438999999999993</v>
      </c>
      <c r="N81" s="624">
        <f t="shared" si="4"/>
        <v>1927.372335</v>
      </c>
      <c r="O81" t="str">
        <f t="shared" si="5"/>
        <v>b/szwu 304</v>
      </c>
    </row>
    <row r="82" spans="2:15">
      <c r="B82" t="s">
        <v>257</v>
      </c>
      <c r="C82" s="226" t="s">
        <v>122</v>
      </c>
      <c r="D82" s="227"/>
      <c r="E82" s="11">
        <v>1</v>
      </c>
      <c r="F82" s="623">
        <v>5250</v>
      </c>
      <c r="G82" s="12"/>
      <c r="H82" s="11">
        <v>0.3</v>
      </c>
      <c r="I82" s="623">
        <v>493</v>
      </c>
      <c r="J82" s="631">
        <v>710</v>
      </c>
      <c r="K82" s="12"/>
      <c r="L82" s="11">
        <v>1</v>
      </c>
      <c r="M82" s="623">
        <v>65.917999999999992</v>
      </c>
      <c r="N82" s="624">
        <f t="shared" si="4"/>
        <v>5578.8135199999988</v>
      </c>
      <c r="O82" t="str">
        <f t="shared" si="5"/>
        <v>b/szwu 304</v>
      </c>
    </row>
    <row r="85" spans="2:15">
      <c r="C85" s="617" t="s">
        <v>1384</v>
      </c>
    </row>
    <row r="86" spans="2:15" ht="15.75" thickBot="1">
      <c r="C86" s="28" t="s">
        <v>1385</v>
      </c>
      <c r="D86" s="28"/>
      <c r="E86" s="28"/>
      <c r="F86" s="28"/>
      <c r="N86" s="632"/>
    </row>
    <row r="87" spans="2:15">
      <c r="C87" s="240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633"/>
    </row>
    <row r="88" spans="2:15">
      <c r="C88" s="277"/>
      <c r="N88" s="634"/>
    </row>
    <row r="89" spans="2:15">
      <c r="C89" s="273"/>
      <c r="N89" s="634"/>
    </row>
    <row r="90" spans="2:15">
      <c r="C90" s="273" t="s">
        <v>769</v>
      </c>
      <c r="D90" t="s">
        <v>769</v>
      </c>
      <c r="E90" t="s">
        <v>611</v>
      </c>
      <c r="F90" t="s">
        <v>612</v>
      </c>
      <c r="G90" t="s">
        <v>613</v>
      </c>
      <c r="H90" t="s">
        <v>611</v>
      </c>
      <c r="I90" t="s">
        <v>614</v>
      </c>
      <c r="J90" t="s">
        <v>615</v>
      </c>
      <c r="K90" t="s">
        <v>613</v>
      </c>
      <c r="L90" t="s">
        <v>611</v>
      </c>
      <c r="M90" t="s">
        <v>616</v>
      </c>
      <c r="N90" s="634" t="s">
        <v>617</v>
      </c>
    </row>
    <row r="91" spans="2:15">
      <c r="B91" t="s">
        <v>233</v>
      </c>
      <c r="C91" s="226" t="s">
        <v>47</v>
      </c>
      <c r="D91" s="227"/>
      <c r="E91" s="11">
        <v>1.08</v>
      </c>
      <c r="F91" s="631">
        <f>35.46*1.1</f>
        <v>39.006000000000007</v>
      </c>
      <c r="G91" s="12"/>
      <c r="H91" s="11">
        <v>1</v>
      </c>
      <c r="I91" s="631">
        <f>20*1.1</f>
        <v>22</v>
      </c>
      <c r="J91" s="631">
        <f>9*1.1</f>
        <v>9.9</v>
      </c>
      <c r="K91" s="12"/>
      <c r="L91" s="11">
        <v>1</v>
      </c>
      <c r="M91" s="631">
        <v>2.9899999999999998</v>
      </c>
      <c r="N91" s="3">
        <f t="shared" ref="N91:N96" si="6">(E91*(F91-F91*G91)+H91*((I91+J91)-(I91+J91)*K91)/2+L91*M91)*1.015</f>
        <v>61.982477199999998</v>
      </c>
      <c r="O91" t="s">
        <v>1386</v>
      </c>
    </row>
    <row r="92" spans="2:15">
      <c r="B92" t="s">
        <v>234</v>
      </c>
      <c r="C92" s="226" t="s">
        <v>49</v>
      </c>
      <c r="D92" s="227"/>
      <c r="E92" s="11">
        <v>1.08</v>
      </c>
      <c r="F92" s="631">
        <f>42*1.1</f>
        <v>46.2</v>
      </c>
      <c r="G92" s="12"/>
      <c r="H92" s="11">
        <v>1</v>
      </c>
      <c r="I92" s="631">
        <f>22*1.1</f>
        <v>24.200000000000003</v>
      </c>
      <c r="J92" s="631">
        <f>11.5*1.1</f>
        <v>12.65</v>
      </c>
      <c r="K92" s="12"/>
      <c r="L92" s="11">
        <v>1</v>
      </c>
      <c r="M92" s="631">
        <v>3.5879999999999996</v>
      </c>
      <c r="N92" s="3">
        <f t="shared" si="6"/>
        <v>72.987634999999997</v>
      </c>
      <c r="O92" t="str">
        <f>O91</f>
        <v>b/szwu 304 cienkościenna</v>
      </c>
    </row>
    <row r="93" spans="2:15">
      <c r="B93" t="s">
        <v>237</v>
      </c>
      <c r="C93" s="226" t="s">
        <v>55</v>
      </c>
      <c r="D93" s="227"/>
      <c r="E93" s="11">
        <v>1.08</v>
      </c>
      <c r="F93" s="631">
        <f>95*1.1</f>
        <v>104.50000000000001</v>
      </c>
      <c r="G93" s="12"/>
      <c r="H93" s="11">
        <v>0.9</v>
      </c>
      <c r="I93" s="631">
        <f>41*1.1</f>
        <v>45.1</v>
      </c>
      <c r="J93" s="631">
        <f>18.9*1.1</f>
        <v>20.79</v>
      </c>
      <c r="K93" s="12"/>
      <c r="L93" s="11">
        <v>1</v>
      </c>
      <c r="M93" s="631">
        <v>7.2806499999999996</v>
      </c>
      <c r="N93" s="3">
        <f t="shared" si="6"/>
        <v>152.03801725000002</v>
      </c>
      <c r="O93" t="str">
        <f>O92</f>
        <v>b/szwu 304 cienkościenna</v>
      </c>
    </row>
    <row r="94" spans="2:15">
      <c r="B94" t="s">
        <v>238</v>
      </c>
      <c r="C94" s="226" t="s">
        <v>57</v>
      </c>
      <c r="D94" s="227"/>
      <c r="E94" s="11">
        <v>1.08</v>
      </c>
      <c r="F94" s="631">
        <f>119*1.1</f>
        <v>130.9</v>
      </c>
      <c r="G94" s="12"/>
      <c r="H94" s="11">
        <v>0.6</v>
      </c>
      <c r="I94" s="631">
        <f>50*1.1</f>
        <v>55.000000000000007</v>
      </c>
      <c r="J94" s="631">
        <f>26*1.1</f>
        <v>28.6</v>
      </c>
      <c r="K94" s="12"/>
      <c r="L94" s="11">
        <v>1</v>
      </c>
      <c r="M94" s="631">
        <v>9.9417500000000008</v>
      </c>
      <c r="N94" s="3">
        <f t="shared" si="6"/>
        <v>179.03965625000004</v>
      </c>
      <c r="O94" t="str">
        <f>O93</f>
        <v>b/szwu 304 cienkościenna</v>
      </c>
    </row>
    <row r="95" spans="2:15">
      <c r="B95" t="s">
        <v>239</v>
      </c>
      <c r="C95" s="226" t="s">
        <v>59</v>
      </c>
      <c r="D95" s="227"/>
      <c r="E95" s="11">
        <v>1.08</v>
      </c>
      <c r="F95" s="631">
        <f>157*1.1</f>
        <v>172.70000000000002</v>
      </c>
      <c r="G95" s="12"/>
      <c r="H95" s="11">
        <v>0.6</v>
      </c>
      <c r="I95" s="631">
        <f>76*1.1</f>
        <v>83.600000000000009</v>
      </c>
      <c r="J95" s="631">
        <f>40.5*1.1</f>
        <v>44.550000000000004</v>
      </c>
      <c r="K95" s="12"/>
      <c r="L95" s="11">
        <v>1</v>
      </c>
      <c r="M95" s="631">
        <v>11.541399999999999</v>
      </c>
      <c r="N95" s="3">
        <f t="shared" si="6"/>
        <v>240.049936</v>
      </c>
      <c r="O95" t="str">
        <f>O94</f>
        <v>b/szwu 304 cienkościenna</v>
      </c>
    </row>
    <row r="96" spans="2:15">
      <c r="B96" t="s">
        <v>241</v>
      </c>
      <c r="C96" s="226" t="s">
        <v>62</v>
      </c>
      <c r="D96" s="227"/>
      <c r="E96" s="23">
        <v>1.06</v>
      </c>
      <c r="F96" s="630">
        <v>356</v>
      </c>
      <c r="G96" s="24"/>
      <c r="H96" s="23">
        <v>0.5</v>
      </c>
      <c r="I96" s="630">
        <v>130</v>
      </c>
      <c r="J96" s="630">
        <v>199</v>
      </c>
      <c r="K96" s="24"/>
      <c r="L96" s="23">
        <v>1</v>
      </c>
      <c r="M96" s="630">
        <f>17.86525*4</f>
        <v>71.460999999999999</v>
      </c>
      <c r="N96" s="3">
        <f t="shared" si="6"/>
        <v>539.03706499999998</v>
      </c>
      <c r="O96" t="str">
        <f>O95</f>
        <v>b/szwu 304 cienkościenna</v>
      </c>
    </row>
    <row r="98" spans="2:15" ht="15.75" thickBot="1"/>
    <row r="99" spans="2:15" ht="15.75" thickBot="1">
      <c r="C99" s="948" t="s">
        <v>1387</v>
      </c>
      <c r="D99" s="949"/>
      <c r="E99" s="949"/>
      <c r="F99" s="949"/>
      <c r="G99" s="949"/>
      <c r="H99" s="949"/>
      <c r="I99" s="949"/>
      <c r="J99" s="949"/>
      <c r="K99" s="949"/>
      <c r="L99" s="949"/>
      <c r="M99" s="949"/>
      <c r="N99" s="950"/>
    </row>
    <row r="101" spans="2:15">
      <c r="C101" s="617" t="s">
        <v>1388</v>
      </c>
    </row>
    <row r="102" spans="2:15" ht="15.75" thickBot="1">
      <c r="C102" s="28" t="s">
        <v>1389</v>
      </c>
      <c r="D102" s="28"/>
      <c r="E102" s="28"/>
      <c r="F102" s="28"/>
      <c r="I102" t="s">
        <v>1390</v>
      </c>
      <c r="K102" s="18"/>
      <c r="N102" s="618"/>
    </row>
    <row r="103" spans="2:15">
      <c r="C103" s="240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619"/>
    </row>
    <row r="104" spans="2:15">
      <c r="C104" s="277"/>
      <c r="N104" s="620"/>
    </row>
    <row r="105" spans="2:15">
      <c r="C105" s="273"/>
      <c r="N105" s="620"/>
    </row>
    <row r="106" spans="2:15" ht="30">
      <c r="C106" s="273" t="s">
        <v>769</v>
      </c>
      <c r="D106" t="s">
        <v>769</v>
      </c>
      <c r="E106" t="s">
        <v>611</v>
      </c>
      <c r="F106" t="s">
        <v>612</v>
      </c>
      <c r="G106" t="s">
        <v>613</v>
      </c>
      <c r="H106" t="s">
        <v>611</v>
      </c>
      <c r="I106" t="s">
        <v>614</v>
      </c>
      <c r="J106" t="s">
        <v>615</v>
      </c>
      <c r="K106" t="s">
        <v>613</v>
      </c>
      <c r="L106" t="s">
        <v>611</v>
      </c>
      <c r="M106" t="s">
        <v>616</v>
      </c>
      <c r="N106" s="620" t="s">
        <v>617</v>
      </c>
      <c r="O106" s="621" t="s">
        <v>1391</v>
      </c>
    </row>
    <row r="107" spans="2:15">
      <c r="B107" t="s">
        <v>233</v>
      </c>
      <c r="C107" s="226" t="s">
        <v>47</v>
      </c>
      <c r="D107" s="227"/>
      <c r="E107" s="11">
        <v>1.08</v>
      </c>
      <c r="F107" s="23">
        <v>16.55</v>
      </c>
      <c r="G107" s="24"/>
      <c r="H107" s="23">
        <v>1</v>
      </c>
      <c r="I107" s="23">
        <v>7.6</v>
      </c>
      <c r="J107" s="23">
        <v>5.0999999999999996</v>
      </c>
      <c r="K107" s="12"/>
      <c r="L107" s="11">
        <v>1</v>
      </c>
      <c r="M107" s="623">
        <f>2.6*2</f>
        <v>5.2</v>
      </c>
      <c r="N107" s="624">
        <f>(E107*(F107-F107*G107)+H107*((I107+J107)-(I107+J107)*K107)/2+L107*M107)*1.015</f>
        <v>29.865359999999999</v>
      </c>
      <c r="O107" s="228">
        <f>N107+3*M107</f>
        <v>45.465360000000004</v>
      </c>
    </row>
    <row r="108" spans="2:15">
      <c r="B108" t="s">
        <v>265</v>
      </c>
      <c r="C108" s="226" t="s">
        <v>49</v>
      </c>
      <c r="D108" s="227"/>
      <c r="E108" s="11">
        <v>1.08</v>
      </c>
      <c r="F108" s="23">
        <v>21</v>
      </c>
      <c r="G108" s="24"/>
      <c r="H108" s="23">
        <v>1</v>
      </c>
      <c r="I108" s="23">
        <v>11</v>
      </c>
      <c r="J108" s="23">
        <v>6.5</v>
      </c>
      <c r="K108" s="12"/>
      <c r="L108" s="11">
        <v>1</v>
      </c>
      <c r="M108" s="623">
        <f>3.12*2</f>
        <v>6.24</v>
      </c>
      <c r="N108" s="624">
        <f t="shared" ref="N108:N115" si="7">(E108*(F108-F108*G108)+H108*((I108+J108)-(I108+J108)*K108)/2+L108*M108)*1.015</f>
        <v>38.235050000000001</v>
      </c>
      <c r="O108" s="228">
        <f t="shared" ref="O108:O115" si="8">N108+3*M108</f>
        <v>56.95505</v>
      </c>
    </row>
    <row r="109" spans="2:15">
      <c r="B109" t="s">
        <v>266</v>
      </c>
      <c r="C109" s="226" t="s">
        <v>51</v>
      </c>
      <c r="D109" s="227"/>
      <c r="E109" s="11">
        <v>1.08</v>
      </c>
      <c r="F109" s="23">
        <v>29.1</v>
      </c>
      <c r="G109" s="24"/>
      <c r="H109" s="23">
        <v>0.9</v>
      </c>
      <c r="I109" s="23">
        <v>13.1</v>
      </c>
      <c r="J109" s="23">
        <v>8.4</v>
      </c>
      <c r="K109" s="12"/>
      <c r="L109" s="11">
        <v>1</v>
      </c>
      <c r="M109" s="623">
        <f>4.225*2</f>
        <v>8.4499999999999993</v>
      </c>
      <c r="N109" s="624">
        <f t="shared" si="7"/>
        <v>50.296295000000008</v>
      </c>
      <c r="O109" s="228">
        <f t="shared" si="8"/>
        <v>75.646295000000009</v>
      </c>
    </row>
    <row r="110" spans="2:15">
      <c r="B110" t="s">
        <v>267</v>
      </c>
      <c r="C110" s="226" t="s">
        <v>53</v>
      </c>
      <c r="D110" s="227"/>
      <c r="E110" s="11">
        <v>1.08</v>
      </c>
      <c r="F110" s="23">
        <v>31.2</v>
      </c>
      <c r="G110" s="24"/>
      <c r="H110" s="23">
        <v>0.9</v>
      </c>
      <c r="I110" s="23">
        <v>17</v>
      </c>
      <c r="J110" s="23">
        <v>13</v>
      </c>
      <c r="K110" s="12"/>
      <c r="L110" s="11">
        <v>1</v>
      </c>
      <c r="M110" s="623">
        <f>5.226*2</f>
        <v>10.452</v>
      </c>
      <c r="N110" s="624">
        <f t="shared" si="7"/>
        <v>58.512719999999987</v>
      </c>
      <c r="O110" s="228">
        <f t="shared" si="8"/>
        <v>89.868719999999996</v>
      </c>
    </row>
    <row r="111" spans="2:15">
      <c r="B111" t="s">
        <v>1392</v>
      </c>
      <c r="C111" s="226" t="s">
        <v>55</v>
      </c>
      <c r="D111" s="227"/>
      <c r="E111" s="11">
        <v>1.08</v>
      </c>
      <c r="F111" s="23">
        <v>44.4</v>
      </c>
      <c r="G111" s="24"/>
      <c r="H111" s="23">
        <v>0.9</v>
      </c>
      <c r="I111" s="23">
        <v>19.2</v>
      </c>
      <c r="J111" s="23">
        <v>15.2</v>
      </c>
      <c r="K111" s="12"/>
      <c r="L111" s="11">
        <v>1</v>
      </c>
      <c r="M111" s="623">
        <f>6.331*2</f>
        <v>12.662000000000001</v>
      </c>
      <c r="N111" s="624">
        <f t="shared" si="7"/>
        <v>77.235410000000002</v>
      </c>
      <c r="O111" s="228">
        <f t="shared" si="8"/>
        <v>115.22141000000001</v>
      </c>
    </row>
    <row r="112" spans="2:15">
      <c r="C112" s="226" t="s">
        <v>57</v>
      </c>
      <c r="D112" s="227"/>
      <c r="E112" s="11"/>
      <c r="F112" s="23"/>
      <c r="G112" s="24"/>
      <c r="H112" s="23"/>
      <c r="I112" s="23"/>
      <c r="J112" s="23"/>
      <c r="K112" s="12"/>
      <c r="L112" s="11"/>
      <c r="M112" s="623"/>
      <c r="N112" s="624"/>
      <c r="O112" s="228"/>
    </row>
    <row r="113" spans="2:15">
      <c r="B113" t="s">
        <v>239</v>
      </c>
      <c r="C113" s="226" t="s">
        <v>59</v>
      </c>
      <c r="D113" s="227"/>
      <c r="E113" s="11">
        <v>1.08</v>
      </c>
      <c r="F113" s="23">
        <v>77.540000000000006</v>
      </c>
      <c r="G113" s="24"/>
      <c r="H113" s="23">
        <v>0.6</v>
      </c>
      <c r="I113" s="23">
        <v>34</v>
      </c>
      <c r="J113" s="23">
        <v>24</v>
      </c>
      <c r="K113" s="12"/>
      <c r="L113" s="11">
        <v>1</v>
      </c>
      <c r="M113" s="623">
        <f>10.036*2</f>
        <v>20.071999999999999</v>
      </c>
      <c r="N113" s="624">
        <f t="shared" si="7"/>
        <v>123.033428</v>
      </c>
      <c r="O113" s="228">
        <f t="shared" si="8"/>
        <v>183.24942799999999</v>
      </c>
    </row>
    <row r="114" spans="2:15">
      <c r="B114" t="s">
        <v>1393</v>
      </c>
      <c r="C114" s="226" t="s">
        <v>60</v>
      </c>
      <c r="D114" s="227"/>
      <c r="E114" s="11">
        <v>1.06</v>
      </c>
      <c r="F114" s="23">
        <v>90.92</v>
      </c>
      <c r="G114" s="24"/>
      <c r="H114" s="23">
        <v>0.55000000000000004</v>
      </c>
      <c r="I114" s="23">
        <v>44.2</v>
      </c>
      <c r="J114" s="23">
        <v>30</v>
      </c>
      <c r="K114" s="12"/>
      <c r="L114" s="11">
        <v>1</v>
      </c>
      <c r="M114" s="623">
        <f>11.778*2</f>
        <v>23.556000000000001</v>
      </c>
      <c r="N114" s="624">
        <f t="shared" si="7"/>
        <v>142.44124300000001</v>
      </c>
      <c r="O114" s="228">
        <f t="shared" si="8"/>
        <v>213.10924300000002</v>
      </c>
    </row>
    <row r="115" spans="2:15">
      <c r="B115" t="s">
        <v>241</v>
      </c>
      <c r="C115" s="226" t="s">
        <v>62</v>
      </c>
      <c r="D115" s="227"/>
      <c r="E115" s="11">
        <v>1.06</v>
      </c>
      <c r="F115" s="23">
        <v>117.88</v>
      </c>
      <c r="G115" s="24"/>
      <c r="H115" s="23">
        <v>0.5</v>
      </c>
      <c r="I115" s="23">
        <v>67</v>
      </c>
      <c r="J115" s="23">
        <v>53</v>
      </c>
      <c r="K115" s="12"/>
      <c r="L115" s="11">
        <v>1</v>
      </c>
      <c r="M115" s="623">
        <f>15.535*2</f>
        <v>31.07</v>
      </c>
      <c r="N115" s="624">
        <f t="shared" si="7"/>
        <v>188.81314199999997</v>
      </c>
      <c r="O115" s="228">
        <f t="shared" si="8"/>
        <v>282.02314200000001</v>
      </c>
    </row>
  </sheetData>
  <mergeCells count="3">
    <mergeCell ref="C1:N1"/>
    <mergeCell ref="C44:N44"/>
    <mergeCell ref="C99:N9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EA01-769E-4DDD-90BB-6FF0985947B5}">
  <dimension ref="A2:S71"/>
  <sheetViews>
    <sheetView topLeftCell="A43" workbookViewId="0">
      <selection activeCell="B64" sqref="B64"/>
    </sheetView>
  </sheetViews>
  <sheetFormatPr defaultRowHeight="15"/>
  <cols>
    <col min="1" max="1" width="19.140625" customWidth="1"/>
    <col min="2" max="2" width="12.42578125" customWidth="1"/>
    <col min="3" max="3" width="20.85546875" customWidth="1"/>
    <col min="4" max="5" width="10.42578125" customWidth="1"/>
    <col min="7" max="7" width="10.85546875" customWidth="1"/>
    <col min="9" max="9" width="9.85546875" bestFit="1" customWidth="1"/>
    <col min="14" max="14" width="9.42578125" customWidth="1"/>
    <col min="15" max="15" width="12" customWidth="1"/>
    <col min="16" max="16" width="13.28515625" customWidth="1"/>
    <col min="19" max="19" width="11.28515625" customWidth="1"/>
    <col min="20" max="20" width="13.140625" customWidth="1"/>
    <col min="257" max="257" width="19.140625" customWidth="1"/>
    <col min="258" max="258" width="12.42578125" customWidth="1"/>
    <col min="259" max="259" width="20.85546875" customWidth="1"/>
    <col min="260" max="261" width="10.42578125" customWidth="1"/>
    <col min="263" max="263" width="10.85546875" customWidth="1"/>
    <col min="265" max="265" width="9.85546875" bestFit="1" customWidth="1"/>
    <col min="270" max="270" width="9.42578125" customWidth="1"/>
    <col min="271" max="271" width="12" customWidth="1"/>
    <col min="272" max="272" width="13.28515625" customWidth="1"/>
    <col min="275" max="275" width="11.28515625" customWidth="1"/>
    <col min="276" max="276" width="13.140625" customWidth="1"/>
    <col min="513" max="513" width="19.140625" customWidth="1"/>
    <col min="514" max="514" width="12.42578125" customWidth="1"/>
    <col min="515" max="515" width="20.85546875" customWidth="1"/>
    <col min="516" max="517" width="10.42578125" customWidth="1"/>
    <col min="519" max="519" width="10.85546875" customWidth="1"/>
    <col min="521" max="521" width="9.85546875" bestFit="1" customWidth="1"/>
    <col min="526" max="526" width="9.42578125" customWidth="1"/>
    <col min="527" max="527" width="12" customWidth="1"/>
    <col min="528" max="528" width="13.28515625" customWidth="1"/>
    <col min="531" max="531" width="11.28515625" customWidth="1"/>
    <col min="532" max="532" width="13.140625" customWidth="1"/>
    <col min="769" max="769" width="19.140625" customWidth="1"/>
    <col min="770" max="770" width="12.42578125" customWidth="1"/>
    <col min="771" max="771" width="20.85546875" customWidth="1"/>
    <col min="772" max="773" width="10.42578125" customWidth="1"/>
    <col min="775" max="775" width="10.85546875" customWidth="1"/>
    <col min="777" max="777" width="9.85546875" bestFit="1" customWidth="1"/>
    <col min="782" max="782" width="9.42578125" customWidth="1"/>
    <col min="783" max="783" width="12" customWidth="1"/>
    <col min="784" max="784" width="13.28515625" customWidth="1"/>
    <col min="787" max="787" width="11.28515625" customWidth="1"/>
    <col min="788" max="788" width="13.140625" customWidth="1"/>
    <col min="1025" max="1025" width="19.140625" customWidth="1"/>
    <col min="1026" max="1026" width="12.42578125" customWidth="1"/>
    <col min="1027" max="1027" width="20.85546875" customWidth="1"/>
    <col min="1028" max="1029" width="10.42578125" customWidth="1"/>
    <col min="1031" max="1031" width="10.85546875" customWidth="1"/>
    <col min="1033" max="1033" width="9.85546875" bestFit="1" customWidth="1"/>
    <col min="1038" max="1038" width="9.42578125" customWidth="1"/>
    <col min="1039" max="1039" width="12" customWidth="1"/>
    <col min="1040" max="1040" width="13.28515625" customWidth="1"/>
    <col min="1043" max="1043" width="11.28515625" customWidth="1"/>
    <col min="1044" max="1044" width="13.140625" customWidth="1"/>
    <col min="1281" max="1281" width="19.140625" customWidth="1"/>
    <col min="1282" max="1282" width="12.42578125" customWidth="1"/>
    <col min="1283" max="1283" width="20.85546875" customWidth="1"/>
    <col min="1284" max="1285" width="10.42578125" customWidth="1"/>
    <col min="1287" max="1287" width="10.85546875" customWidth="1"/>
    <col min="1289" max="1289" width="9.85546875" bestFit="1" customWidth="1"/>
    <col min="1294" max="1294" width="9.42578125" customWidth="1"/>
    <col min="1295" max="1295" width="12" customWidth="1"/>
    <col min="1296" max="1296" width="13.28515625" customWidth="1"/>
    <col min="1299" max="1299" width="11.28515625" customWidth="1"/>
    <col min="1300" max="1300" width="13.140625" customWidth="1"/>
    <col min="1537" max="1537" width="19.140625" customWidth="1"/>
    <col min="1538" max="1538" width="12.42578125" customWidth="1"/>
    <col min="1539" max="1539" width="20.85546875" customWidth="1"/>
    <col min="1540" max="1541" width="10.42578125" customWidth="1"/>
    <col min="1543" max="1543" width="10.85546875" customWidth="1"/>
    <col min="1545" max="1545" width="9.85546875" bestFit="1" customWidth="1"/>
    <col min="1550" max="1550" width="9.42578125" customWidth="1"/>
    <col min="1551" max="1551" width="12" customWidth="1"/>
    <col min="1552" max="1552" width="13.28515625" customWidth="1"/>
    <col min="1555" max="1555" width="11.28515625" customWidth="1"/>
    <col min="1556" max="1556" width="13.140625" customWidth="1"/>
    <col min="1793" max="1793" width="19.140625" customWidth="1"/>
    <col min="1794" max="1794" width="12.42578125" customWidth="1"/>
    <col min="1795" max="1795" width="20.85546875" customWidth="1"/>
    <col min="1796" max="1797" width="10.42578125" customWidth="1"/>
    <col min="1799" max="1799" width="10.85546875" customWidth="1"/>
    <col min="1801" max="1801" width="9.85546875" bestFit="1" customWidth="1"/>
    <col min="1806" max="1806" width="9.42578125" customWidth="1"/>
    <col min="1807" max="1807" width="12" customWidth="1"/>
    <col min="1808" max="1808" width="13.28515625" customWidth="1"/>
    <col min="1811" max="1811" width="11.28515625" customWidth="1"/>
    <col min="1812" max="1812" width="13.140625" customWidth="1"/>
    <col min="2049" max="2049" width="19.140625" customWidth="1"/>
    <col min="2050" max="2050" width="12.42578125" customWidth="1"/>
    <col min="2051" max="2051" width="20.85546875" customWidth="1"/>
    <col min="2052" max="2053" width="10.42578125" customWidth="1"/>
    <col min="2055" max="2055" width="10.85546875" customWidth="1"/>
    <col min="2057" max="2057" width="9.85546875" bestFit="1" customWidth="1"/>
    <col min="2062" max="2062" width="9.42578125" customWidth="1"/>
    <col min="2063" max="2063" width="12" customWidth="1"/>
    <col min="2064" max="2064" width="13.28515625" customWidth="1"/>
    <col min="2067" max="2067" width="11.28515625" customWidth="1"/>
    <col min="2068" max="2068" width="13.140625" customWidth="1"/>
    <col min="2305" max="2305" width="19.140625" customWidth="1"/>
    <col min="2306" max="2306" width="12.42578125" customWidth="1"/>
    <col min="2307" max="2307" width="20.85546875" customWidth="1"/>
    <col min="2308" max="2309" width="10.42578125" customWidth="1"/>
    <col min="2311" max="2311" width="10.85546875" customWidth="1"/>
    <col min="2313" max="2313" width="9.85546875" bestFit="1" customWidth="1"/>
    <col min="2318" max="2318" width="9.42578125" customWidth="1"/>
    <col min="2319" max="2319" width="12" customWidth="1"/>
    <col min="2320" max="2320" width="13.28515625" customWidth="1"/>
    <col min="2323" max="2323" width="11.28515625" customWidth="1"/>
    <col min="2324" max="2324" width="13.140625" customWidth="1"/>
    <col min="2561" max="2561" width="19.140625" customWidth="1"/>
    <col min="2562" max="2562" width="12.42578125" customWidth="1"/>
    <col min="2563" max="2563" width="20.85546875" customWidth="1"/>
    <col min="2564" max="2565" width="10.42578125" customWidth="1"/>
    <col min="2567" max="2567" width="10.85546875" customWidth="1"/>
    <col min="2569" max="2569" width="9.85546875" bestFit="1" customWidth="1"/>
    <col min="2574" max="2574" width="9.42578125" customWidth="1"/>
    <col min="2575" max="2575" width="12" customWidth="1"/>
    <col min="2576" max="2576" width="13.28515625" customWidth="1"/>
    <col min="2579" max="2579" width="11.28515625" customWidth="1"/>
    <col min="2580" max="2580" width="13.140625" customWidth="1"/>
    <col min="2817" max="2817" width="19.140625" customWidth="1"/>
    <col min="2818" max="2818" width="12.42578125" customWidth="1"/>
    <col min="2819" max="2819" width="20.85546875" customWidth="1"/>
    <col min="2820" max="2821" width="10.42578125" customWidth="1"/>
    <col min="2823" max="2823" width="10.85546875" customWidth="1"/>
    <col min="2825" max="2825" width="9.85546875" bestFit="1" customWidth="1"/>
    <col min="2830" max="2830" width="9.42578125" customWidth="1"/>
    <col min="2831" max="2831" width="12" customWidth="1"/>
    <col min="2832" max="2832" width="13.28515625" customWidth="1"/>
    <col min="2835" max="2835" width="11.28515625" customWidth="1"/>
    <col min="2836" max="2836" width="13.140625" customWidth="1"/>
    <col min="3073" max="3073" width="19.140625" customWidth="1"/>
    <col min="3074" max="3074" width="12.42578125" customWidth="1"/>
    <col min="3075" max="3075" width="20.85546875" customWidth="1"/>
    <col min="3076" max="3077" width="10.42578125" customWidth="1"/>
    <col min="3079" max="3079" width="10.85546875" customWidth="1"/>
    <col min="3081" max="3081" width="9.85546875" bestFit="1" customWidth="1"/>
    <col min="3086" max="3086" width="9.42578125" customWidth="1"/>
    <col min="3087" max="3087" width="12" customWidth="1"/>
    <col min="3088" max="3088" width="13.28515625" customWidth="1"/>
    <col min="3091" max="3091" width="11.28515625" customWidth="1"/>
    <col min="3092" max="3092" width="13.140625" customWidth="1"/>
    <col min="3329" max="3329" width="19.140625" customWidth="1"/>
    <col min="3330" max="3330" width="12.42578125" customWidth="1"/>
    <col min="3331" max="3331" width="20.85546875" customWidth="1"/>
    <col min="3332" max="3333" width="10.42578125" customWidth="1"/>
    <col min="3335" max="3335" width="10.85546875" customWidth="1"/>
    <col min="3337" max="3337" width="9.85546875" bestFit="1" customWidth="1"/>
    <col min="3342" max="3342" width="9.42578125" customWidth="1"/>
    <col min="3343" max="3343" width="12" customWidth="1"/>
    <col min="3344" max="3344" width="13.28515625" customWidth="1"/>
    <col min="3347" max="3347" width="11.28515625" customWidth="1"/>
    <col min="3348" max="3348" width="13.140625" customWidth="1"/>
    <col min="3585" max="3585" width="19.140625" customWidth="1"/>
    <col min="3586" max="3586" width="12.42578125" customWidth="1"/>
    <col min="3587" max="3587" width="20.85546875" customWidth="1"/>
    <col min="3588" max="3589" width="10.42578125" customWidth="1"/>
    <col min="3591" max="3591" width="10.85546875" customWidth="1"/>
    <col min="3593" max="3593" width="9.85546875" bestFit="1" customWidth="1"/>
    <col min="3598" max="3598" width="9.42578125" customWidth="1"/>
    <col min="3599" max="3599" width="12" customWidth="1"/>
    <col min="3600" max="3600" width="13.28515625" customWidth="1"/>
    <col min="3603" max="3603" width="11.28515625" customWidth="1"/>
    <col min="3604" max="3604" width="13.140625" customWidth="1"/>
    <col min="3841" max="3841" width="19.140625" customWidth="1"/>
    <col min="3842" max="3842" width="12.42578125" customWidth="1"/>
    <col min="3843" max="3843" width="20.85546875" customWidth="1"/>
    <col min="3844" max="3845" width="10.42578125" customWidth="1"/>
    <col min="3847" max="3847" width="10.85546875" customWidth="1"/>
    <col min="3849" max="3849" width="9.85546875" bestFit="1" customWidth="1"/>
    <col min="3854" max="3854" width="9.42578125" customWidth="1"/>
    <col min="3855" max="3855" width="12" customWidth="1"/>
    <col min="3856" max="3856" width="13.28515625" customWidth="1"/>
    <col min="3859" max="3859" width="11.28515625" customWidth="1"/>
    <col min="3860" max="3860" width="13.140625" customWidth="1"/>
    <col min="4097" max="4097" width="19.140625" customWidth="1"/>
    <col min="4098" max="4098" width="12.42578125" customWidth="1"/>
    <col min="4099" max="4099" width="20.85546875" customWidth="1"/>
    <col min="4100" max="4101" width="10.42578125" customWidth="1"/>
    <col min="4103" max="4103" width="10.85546875" customWidth="1"/>
    <col min="4105" max="4105" width="9.85546875" bestFit="1" customWidth="1"/>
    <col min="4110" max="4110" width="9.42578125" customWidth="1"/>
    <col min="4111" max="4111" width="12" customWidth="1"/>
    <col min="4112" max="4112" width="13.28515625" customWidth="1"/>
    <col min="4115" max="4115" width="11.28515625" customWidth="1"/>
    <col min="4116" max="4116" width="13.140625" customWidth="1"/>
    <col min="4353" max="4353" width="19.140625" customWidth="1"/>
    <col min="4354" max="4354" width="12.42578125" customWidth="1"/>
    <col min="4355" max="4355" width="20.85546875" customWidth="1"/>
    <col min="4356" max="4357" width="10.42578125" customWidth="1"/>
    <col min="4359" max="4359" width="10.85546875" customWidth="1"/>
    <col min="4361" max="4361" width="9.85546875" bestFit="1" customWidth="1"/>
    <col min="4366" max="4366" width="9.42578125" customWidth="1"/>
    <col min="4367" max="4367" width="12" customWidth="1"/>
    <col min="4368" max="4368" width="13.28515625" customWidth="1"/>
    <col min="4371" max="4371" width="11.28515625" customWidth="1"/>
    <col min="4372" max="4372" width="13.140625" customWidth="1"/>
    <col min="4609" max="4609" width="19.140625" customWidth="1"/>
    <col min="4610" max="4610" width="12.42578125" customWidth="1"/>
    <col min="4611" max="4611" width="20.85546875" customWidth="1"/>
    <col min="4612" max="4613" width="10.42578125" customWidth="1"/>
    <col min="4615" max="4615" width="10.85546875" customWidth="1"/>
    <col min="4617" max="4617" width="9.85546875" bestFit="1" customWidth="1"/>
    <col min="4622" max="4622" width="9.42578125" customWidth="1"/>
    <col min="4623" max="4623" width="12" customWidth="1"/>
    <col min="4624" max="4624" width="13.28515625" customWidth="1"/>
    <col min="4627" max="4627" width="11.28515625" customWidth="1"/>
    <col min="4628" max="4628" width="13.140625" customWidth="1"/>
    <col min="4865" max="4865" width="19.140625" customWidth="1"/>
    <col min="4866" max="4866" width="12.42578125" customWidth="1"/>
    <col min="4867" max="4867" width="20.85546875" customWidth="1"/>
    <col min="4868" max="4869" width="10.42578125" customWidth="1"/>
    <col min="4871" max="4871" width="10.85546875" customWidth="1"/>
    <col min="4873" max="4873" width="9.85546875" bestFit="1" customWidth="1"/>
    <col min="4878" max="4878" width="9.42578125" customWidth="1"/>
    <col min="4879" max="4879" width="12" customWidth="1"/>
    <col min="4880" max="4880" width="13.28515625" customWidth="1"/>
    <col min="4883" max="4883" width="11.28515625" customWidth="1"/>
    <col min="4884" max="4884" width="13.140625" customWidth="1"/>
    <col min="5121" max="5121" width="19.140625" customWidth="1"/>
    <col min="5122" max="5122" width="12.42578125" customWidth="1"/>
    <col min="5123" max="5123" width="20.85546875" customWidth="1"/>
    <col min="5124" max="5125" width="10.42578125" customWidth="1"/>
    <col min="5127" max="5127" width="10.85546875" customWidth="1"/>
    <col min="5129" max="5129" width="9.85546875" bestFit="1" customWidth="1"/>
    <col min="5134" max="5134" width="9.42578125" customWidth="1"/>
    <col min="5135" max="5135" width="12" customWidth="1"/>
    <col min="5136" max="5136" width="13.28515625" customWidth="1"/>
    <col min="5139" max="5139" width="11.28515625" customWidth="1"/>
    <col min="5140" max="5140" width="13.140625" customWidth="1"/>
    <col min="5377" max="5377" width="19.140625" customWidth="1"/>
    <col min="5378" max="5378" width="12.42578125" customWidth="1"/>
    <col min="5379" max="5379" width="20.85546875" customWidth="1"/>
    <col min="5380" max="5381" width="10.42578125" customWidth="1"/>
    <col min="5383" max="5383" width="10.85546875" customWidth="1"/>
    <col min="5385" max="5385" width="9.85546875" bestFit="1" customWidth="1"/>
    <col min="5390" max="5390" width="9.42578125" customWidth="1"/>
    <col min="5391" max="5391" width="12" customWidth="1"/>
    <col min="5392" max="5392" width="13.28515625" customWidth="1"/>
    <col min="5395" max="5395" width="11.28515625" customWidth="1"/>
    <col min="5396" max="5396" width="13.140625" customWidth="1"/>
    <col min="5633" max="5633" width="19.140625" customWidth="1"/>
    <col min="5634" max="5634" width="12.42578125" customWidth="1"/>
    <col min="5635" max="5635" width="20.85546875" customWidth="1"/>
    <col min="5636" max="5637" width="10.42578125" customWidth="1"/>
    <col min="5639" max="5639" width="10.85546875" customWidth="1"/>
    <col min="5641" max="5641" width="9.85546875" bestFit="1" customWidth="1"/>
    <col min="5646" max="5646" width="9.42578125" customWidth="1"/>
    <col min="5647" max="5647" width="12" customWidth="1"/>
    <col min="5648" max="5648" width="13.28515625" customWidth="1"/>
    <col min="5651" max="5651" width="11.28515625" customWidth="1"/>
    <col min="5652" max="5652" width="13.140625" customWidth="1"/>
    <col min="5889" max="5889" width="19.140625" customWidth="1"/>
    <col min="5890" max="5890" width="12.42578125" customWidth="1"/>
    <col min="5891" max="5891" width="20.85546875" customWidth="1"/>
    <col min="5892" max="5893" width="10.42578125" customWidth="1"/>
    <col min="5895" max="5895" width="10.85546875" customWidth="1"/>
    <col min="5897" max="5897" width="9.85546875" bestFit="1" customWidth="1"/>
    <col min="5902" max="5902" width="9.42578125" customWidth="1"/>
    <col min="5903" max="5903" width="12" customWidth="1"/>
    <col min="5904" max="5904" width="13.28515625" customWidth="1"/>
    <col min="5907" max="5907" width="11.28515625" customWidth="1"/>
    <col min="5908" max="5908" width="13.140625" customWidth="1"/>
    <col min="6145" max="6145" width="19.140625" customWidth="1"/>
    <col min="6146" max="6146" width="12.42578125" customWidth="1"/>
    <col min="6147" max="6147" width="20.85546875" customWidth="1"/>
    <col min="6148" max="6149" width="10.42578125" customWidth="1"/>
    <col min="6151" max="6151" width="10.85546875" customWidth="1"/>
    <col min="6153" max="6153" width="9.85546875" bestFit="1" customWidth="1"/>
    <col min="6158" max="6158" width="9.42578125" customWidth="1"/>
    <col min="6159" max="6159" width="12" customWidth="1"/>
    <col min="6160" max="6160" width="13.28515625" customWidth="1"/>
    <col min="6163" max="6163" width="11.28515625" customWidth="1"/>
    <col min="6164" max="6164" width="13.140625" customWidth="1"/>
    <col min="6401" max="6401" width="19.140625" customWidth="1"/>
    <col min="6402" max="6402" width="12.42578125" customWidth="1"/>
    <col min="6403" max="6403" width="20.85546875" customWidth="1"/>
    <col min="6404" max="6405" width="10.42578125" customWidth="1"/>
    <col min="6407" max="6407" width="10.85546875" customWidth="1"/>
    <col min="6409" max="6409" width="9.85546875" bestFit="1" customWidth="1"/>
    <col min="6414" max="6414" width="9.42578125" customWidth="1"/>
    <col min="6415" max="6415" width="12" customWidth="1"/>
    <col min="6416" max="6416" width="13.28515625" customWidth="1"/>
    <col min="6419" max="6419" width="11.28515625" customWidth="1"/>
    <col min="6420" max="6420" width="13.140625" customWidth="1"/>
    <col min="6657" max="6657" width="19.140625" customWidth="1"/>
    <col min="6658" max="6658" width="12.42578125" customWidth="1"/>
    <col min="6659" max="6659" width="20.85546875" customWidth="1"/>
    <col min="6660" max="6661" width="10.42578125" customWidth="1"/>
    <col min="6663" max="6663" width="10.85546875" customWidth="1"/>
    <col min="6665" max="6665" width="9.85546875" bestFit="1" customWidth="1"/>
    <col min="6670" max="6670" width="9.42578125" customWidth="1"/>
    <col min="6671" max="6671" width="12" customWidth="1"/>
    <col min="6672" max="6672" width="13.28515625" customWidth="1"/>
    <col min="6675" max="6675" width="11.28515625" customWidth="1"/>
    <col min="6676" max="6676" width="13.140625" customWidth="1"/>
    <col min="6913" max="6913" width="19.140625" customWidth="1"/>
    <col min="6914" max="6914" width="12.42578125" customWidth="1"/>
    <col min="6915" max="6915" width="20.85546875" customWidth="1"/>
    <col min="6916" max="6917" width="10.42578125" customWidth="1"/>
    <col min="6919" max="6919" width="10.85546875" customWidth="1"/>
    <col min="6921" max="6921" width="9.85546875" bestFit="1" customWidth="1"/>
    <col min="6926" max="6926" width="9.42578125" customWidth="1"/>
    <col min="6927" max="6927" width="12" customWidth="1"/>
    <col min="6928" max="6928" width="13.28515625" customWidth="1"/>
    <col min="6931" max="6931" width="11.28515625" customWidth="1"/>
    <col min="6932" max="6932" width="13.140625" customWidth="1"/>
    <col min="7169" max="7169" width="19.140625" customWidth="1"/>
    <col min="7170" max="7170" width="12.42578125" customWidth="1"/>
    <col min="7171" max="7171" width="20.85546875" customWidth="1"/>
    <col min="7172" max="7173" width="10.42578125" customWidth="1"/>
    <col min="7175" max="7175" width="10.85546875" customWidth="1"/>
    <col min="7177" max="7177" width="9.85546875" bestFit="1" customWidth="1"/>
    <col min="7182" max="7182" width="9.42578125" customWidth="1"/>
    <col min="7183" max="7183" width="12" customWidth="1"/>
    <col min="7184" max="7184" width="13.28515625" customWidth="1"/>
    <col min="7187" max="7187" width="11.28515625" customWidth="1"/>
    <col min="7188" max="7188" width="13.140625" customWidth="1"/>
    <col min="7425" max="7425" width="19.140625" customWidth="1"/>
    <col min="7426" max="7426" width="12.42578125" customWidth="1"/>
    <col min="7427" max="7427" width="20.85546875" customWidth="1"/>
    <col min="7428" max="7429" width="10.42578125" customWidth="1"/>
    <col min="7431" max="7431" width="10.85546875" customWidth="1"/>
    <col min="7433" max="7433" width="9.85546875" bestFit="1" customWidth="1"/>
    <col min="7438" max="7438" width="9.42578125" customWidth="1"/>
    <col min="7439" max="7439" width="12" customWidth="1"/>
    <col min="7440" max="7440" width="13.28515625" customWidth="1"/>
    <col min="7443" max="7443" width="11.28515625" customWidth="1"/>
    <col min="7444" max="7444" width="13.140625" customWidth="1"/>
    <col min="7681" max="7681" width="19.140625" customWidth="1"/>
    <col min="7682" max="7682" width="12.42578125" customWidth="1"/>
    <col min="7683" max="7683" width="20.85546875" customWidth="1"/>
    <col min="7684" max="7685" width="10.42578125" customWidth="1"/>
    <col min="7687" max="7687" width="10.85546875" customWidth="1"/>
    <col min="7689" max="7689" width="9.85546875" bestFit="1" customWidth="1"/>
    <col min="7694" max="7694" width="9.42578125" customWidth="1"/>
    <col min="7695" max="7695" width="12" customWidth="1"/>
    <col min="7696" max="7696" width="13.28515625" customWidth="1"/>
    <col min="7699" max="7699" width="11.28515625" customWidth="1"/>
    <col min="7700" max="7700" width="13.140625" customWidth="1"/>
    <col min="7937" max="7937" width="19.140625" customWidth="1"/>
    <col min="7938" max="7938" width="12.42578125" customWidth="1"/>
    <col min="7939" max="7939" width="20.85546875" customWidth="1"/>
    <col min="7940" max="7941" width="10.42578125" customWidth="1"/>
    <col min="7943" max="7943" width="10.85546875" customWidth="1"/>
    <col min="7945" max="7945" width="9.85546875" bestFit="1" customWidth="1"/>
    <col min="7950" max="7950" width="9.42578125" customWidth="1"/>
    <col min="7951" max="7951" width="12" customWidth="1"/>
    <col min="7952" max="7952" width="13.28515625" customWidth="1"/>
    <col min="7955" max="7955" width="11.28515625" customWidth="1"/>
    <col min="7956" max="7956" width="13.140625" customWidth="1"/>
    <col min="8193" max="8193" width="19.140625" customWidth="1"/>
    <col min="8194" max="8194" width="12.42578125" customWidth="1"/>
    <col min="8195" max="8195" width="20.85546875" customWidth="1"/>
    <col min="8196" max="8197" width="10.42578125" customWidth="1"/>
    <col min="8199" max="8199" width="10.85546875" customWidth="1"/>
    <col min="8201" max="8201" width="9.85546875" bestFit="1" customWidth="1"/>
    <col min="8206" max="8206" width="9.42578125" customWidth="1"/>
    <col min="8207" max="8207" width="12" customWidth="1"/>
    <col min="8208" max="8208" width="13.28515625" customWidth="1"/>
    <col min="8211" max="8211" width="11.28515625" customWidth="1"/>
    <col min="8212" max="8212" width="13.140625" customWidth="1"/>
    <col min="8449" max="8449" width="19.140625" customWidth="1"/>
    <col min="8450" max="8450" width="12.42578125" customWidth="1"/>
    <col min="8451" max="8451" width="20.85546875" customWidth="1"/>
    <col min="8452" max="8453" width="10.42578125" customWidth="1"/>
    <col min="8455" max="8455" width="10.85546875" customWidth="1"/>
    <col min="8457" max="8457" width="9.85546875" bestFit="1" customWidth="1"/>
    <col min="8462" max="8462" width="9.42578125" customWidth="1"/>
    <col min="8463" max="8463" width="12" customWidth="1"/>
    <col min="8464" max="8464" width="13.28515625" customWidth="1"/>
    <col min="8467" max="8467" width="11.28515625" customWidth="1"/>
    <col min="8468" max="8468" width="13.140625" customWidth="1"/>
    <col min="8705" max="8705" width="19.140625" customWidth="1"/>
    <col min="8706" max="8706" width="12.42578125" customWidth="1"/>
    <col min="8707" max="8707" width="20.85546875" customWidth="1"/>
    <col min="8708" max="8709" width="10.42578125" customWidth="1"/>
    <col min="8711" max="8711" width="10.85546875" customWidth="1"/>
    <col min="8713" max="8713" width="9.85546875" bestFit="1" customWidth="1"/>
    <col min="8718" max="8718" width="9.42578125" customWidth="1"/>
    <col min="8719" max="8719" width="12" customWidth="1"/>
    <col min="8720" max="8720" width="13.28515625" customWidth="1"/>
    <col min="8723" max="8723" width="11.28515625" customWidth="1"/>
    <col min="8724" max="8724" width="13.140625" customWidth="1"/>
    <col min="8961" max="8961" width="19.140625" customWidth="1"/>
    <col min="8962" max="8962" width="12.42578125" customWidth="1"/>
    <col min="8963" max="8963" width="20.85546875" customWidth="1"/>
    <col min="8964" max="8965" width="10.42578125" customWidth="1"/>
    <col min="8967" max="8967" width="10.85546875" customWidth="1"/>
    <col min="8969" max="8969" width="9.85546875" bestFit="1" customWidth="1"/>
    <col min="8974" max="8974" width="9.42578125" customWidth="1"/>
    <col min="8975" max="8975" width="12" customWidth="1"/>
    <col min="8976" max="8976" width="13.28515625" customWidth="1"/>
    <col min="8979" max="8979" width="11.28515625" customWidth="1"/>
    <col min="8980" max="8980" width="13.140625" customWidth="1"/>
    <col min="9217" max="9217" width="19.140625" customWidth="1"/>
    <col min="9218" max="9218" width="12.42578125" customWidth="1"/>
    <col min="9219" max="9219" width="20.85546875" customWidth="1"/>
    <col min="9220" max="9221" width="10.42578125" customWidth="1"/>
    <col min="9223" max="9223" width="10.85546875" customWidth="1"/>
    <col min="9225" max="9225" width="9.85546875" bestFit="1" customWidth="1"/>
    <col min="9230" max="9230" width="9.42578125" customWidth="1"/>
    <col min="9231" max="9231" width="12" customWidth="1"/>
    <col min="9232" max="9232" width="13.28515625" customWidth="1"/>
    <col min="9235" max="9235" width="11.28515625" customWidth="1"/>
    <col min="9236" max="9236" width="13.140625" customWidth="1"/>
    <col min="9473" max="9473" width="19.140625" customWidth="1"/>
    <col min="9474" max="9474" width="12.42578125" customWidth="1"/>
    <col min="9475" max="9475" width="20.85546875" customWidth="1"/>
    <col min="9476" max="9477" width="10.42578125" customWidth="1"/>
    <col min="9479" max="9479" width="10.85546875" customWidth="1"/>
    <col min="9481" max="9481" width="9.85546875" bestFit="1" customWidth="1"/>
    <col min="9486" max="9486" width="9.42578125" customWidth="1"/>
    <col min="9487" max="9487" width="12" customWidth="1"/>
    <col min="9488" max="9488" width="13.28515625" customWidth="1"/>
    <col min="9491" max="9491" width="11.28515625" customWidth="1"/>
    <col min="9492" max="9492" width="13.140625" customWidth="1"/>
    <col min="9729" max="9729" width="19.140625" customWidth="1"/>
    <col min="9730" max="9730" width="12.42578125" customWidth="1"/>
    <col min="9731" max="9731" width="20.85546875" customWidth="1"/>
    <col min="9732" max="9733" width="10.42578125" customWidth="1"/>
    <col min="9735" max="9735" width="10.85546875" customWidth="1"/>
    <col min="9737" max="9737" width="9.85546875" bestFit="1" customWidth="1"/>
    <col min="9742" max="9742" width="9.42578125" customWidth="1"/>
    <col min="9743" max="9743" width="12" customWidth="1"/>
    <col min="9744" max="9744" width="13.28515625" customWidth="1"/>
    <col min="9747" max="9747" width="11.28515625" customWidth="1"/>
    <col min="9748" max="9748" width="13.140625" customWidth="1"/>
    <col min="9985" max="9985" width="19.140625" customWidth="1"/>
    <col min="9986" max="9986" width="12.42578125" customWidth="1"/>
    <col min="9987" max="9987" width="20.85546875" customWidth="1"/>
    <col min="9988" max="9989" width="10.42578125" customWidth="1"/>
    <col min="9991" max="9991" width="10.85546875" customWidth="1"/>
    <col min="9993" max="9993" width="9.85546875" bestFit="1" customWidth="1"/>
    <col min="9998" max="9998" width="9.42578125" customWidth="1"/>
    <col min="9999" max="9999" width="12" customWidth="1"/>
    <col min="10000" max="10000" width="13.28515625" customWidth="1"/>
    <col min="10003" max="10003" width="11.28515625" customWidth="1"/>
    <col min="10004" max="10004" width="13.140625" customWidth="1"/>
    <col min="10241" max="10241" width="19.140625" customWidth="1"/>
    <col min="10242" max="10242" width="12.42578125" customWidth="1"/>
    <col min="10243" max="10243" width="20.85546875" customWidth="1"/>
    <col min="10244" max="10245" width="10.42578125" customWidth="1"/>
    <col min="10247" max="10247" width="10.85546875" customWidth="1"/>
    <col min="10249" max="10249" width="9.85546875" bestFit="1" customWidth="1"/>
    <col min="10254" max="10254" width="9.42578125" customWidth="1"/>
    <col min="10255" max="10255" width="12" customWidth="1"/>
    <col min="10256" max="10256" width="13.28515625" customWidth="1"/>
    <col min="10259" max="10259" width="11.28515625" customWidth="1"/>
    <col min="10260" max="10260" width="13.140625" customWidth="1"/>
    <col min="10497" max="10497" width="19.140625" customWidth="1"/>
    <col min="10498" max="10498" width="12.42578125" customWidth="1"/>
    <col min="10499" max="10499" width="20.85546875" customWidth="1"/>
    <col min="10500" max="10501" width="10.42578125" customWidth="1"/>
    <col min="10503" max="10503" width="10.85546875" customWidth="1"/>
    <col min="10505" max="10505" width="9.85546875" bestFit="1" customWidth="1"/>
    <col min="10510" max="10510" width="9.42578125" customWidth="1"/>
    <col min="10511" max="10511" width="12" customWidth="1"/>
    <col min="10512" max="10512" width="13.28515625" customWidth="1"/>
    <col min="10515" max="10515" width="11.28515625" customWidth="1"/>
    <col min="10516" max="10516" width="13.140625" customWidth="1"/>
    <col min="10753" max="10753" width="19.140625" customWidth="1"/>
    <col min="10754" max="10754" width="12.42578125" customWidth="1"/>
    <col min="10755" max="10755" width="20.85546875" customWidth="1"/>
    <col min="10756" max="10757" width="10.42578125" customWidth="1"/>
    <col min="10759" max="10759" width="10.85546875" customWidth="1"/>
    <col min="10761" max="10761" width="9.85546875" bestFit="1" customWidth="1"/>
    <col min="10766" max="10766" width="9.42578125" customWidth="1"/>
    <col min="10767" max="10767" width="12" customWidth="1"/>
    <col min="10768" max="10768" width="13.28515625" customWidth="1"/>
    <col min="10771" max="10771" width="11.28515625" customWidth="1"/>
    <col min="10772" max="10772" width="13.140625" customWidth="1"/>
    <col min="11009" max="11009" width="19.140625" customWidth="1"/>
    <col min="11010" max="11010" width="12.42578125" customWidth="1"/>
    <col min="11011" max="11011" width="20.85546875" customWidth="1"/>
    <col min="11012" max="11013" width="10.42578125" customWidth="1"/>
    <col min="11015" max="11015" width="10.85546875" customWidth="1"/>
    <col min="11017" max="11017" width="9.85546875" bestFit="1" customWidth="1"/>
    <col min="11022" max="11022" width="9.42578125" customWidth="1"/>
    <col min="11023" max="11023" width="12" customWidth="1"/>
    <col min="11024" max="11024" width="13.28515625" customWidth="1"/>
    <col min="11027" max="11027" width="11.28515625" customWidth="1"/>
    <col min="11028" max="11028" width="13.140625" customWidth="1"/>
    <col min="11265" max="11265" width="19.140625" customWidth="1"/>
    <col min="11266" max="11266" width="12.42578125" customWidth="1"/>
    <col min="11267" max="11267" width="20.85546875" customWidth="1"/>
    <col min="11268" max="11269" width="10.42578125" customWidth="1"/>
    <col min="11271" max="11271" width="10.85546875" customWidth="1"/>
    <col min="11273" max="11273" width="9.85546875" bestFit="1" customWidth="1"/>
    <col min="11278" max="11278" width="9.42578125" customWidth="1"/>
    <col min="11279" max="11279" width="12" customWidth="1"/>
    <col min="11280" max="11280" width="13.28515625" customWidth="1"/>
    <col min="11283" max="11283" width="11.28515625" customWidth="1"/>
    <col min="11284" max="11284" width="13.140625" customWidth="1"/>
    <col min="11521" max="11521" width="19.140625" customWidth="1"/>
    <col min="11522" max="11522" width="12.42578125" customWidth="1"/>
    <col min="11523" max="11523" width="20.85546875" customWidth="1"/>
    <col min="11524" max="11525" width="10.42578125" customWidth="1"/>
    <col min="11527" max="11527" width="10.85546875" customWidth="1"/>
    <col min="11529" max="11529" width="9.85546875" bestFit="1" customWidth="1"/>
    <col min="11534" max="11534" width="9.42578125" customWidth="1"/>
    <col min="11535" max="11535" width="12" customWidth="1"/>
    <col min="11536" max="11536" width="13.28515625" customWidth="1"/>
    <col min="11539" max="11539" width="11.28515625" customWidth="1"/>
    <col min="11540" max="11540" width="13.140625" customWidth="1"/>
    <col min="11777" max="11777" width="19.140625" customWidth="1"/>
    <col min="11778" max="11778" width="12.42578125" customWidth="1"/>
    <col min="11779" max="11779" width="20.85546875" customWidth="1"/>
    <col min="11780" max="11781" width="10.42578125" customWidth="1"/>
    <col min="11783" max="11783" width="10.85546875" customWidth="1"/>
    <col min="11785" max="11785" width="9.85546875" bestFit="1" customWidth="1"/>
    <col min="11790" max="11790" width="9.42578125" customWidth="1"/>
    <col min="11791" max="11791" width="12" customWidth="1"/>
    <col min="11792" max="11792" width="13.28515625" customWidth="1"/>
    <col min="11795" max="11795" width="11.28515625" customWidth="1"/>
    <col min="11796" max="11796" width="13.140625" customWidth="1"/>
    <col min="12033" max="12033" width="19.140625" customWidth="1"/>
    <col min="12034" max="12034" width="12.42578125" customWidth="1"/>
    <col min="12035" max="12035" width="20.85546875" customWidth="1"/>
    <col min="12036" max="12037" width="10.42578125" customWidth="1"/>
    <col min="12039" max="12039" width="10.85546875" customWidth="1"/>
    <col min="12041" max="12041" width="9.85546875" bestFit="1" customWidth="1"/>
    <col min="12046" max="12046" width="9.42578125" customWidth="1"/>
    <col min="12047" max="12047" width="12" customWidth="1"/>
    <col min="12048" max="12048" width="13.28515625" customWidth="1"/>
    <col min="12051" max="12051" width="11.28515625" customWidth="1"/>
    <col min="12052" max="12052" width="13.140625" customWidth="1"/>
    <col min="12289" max="12289" width="19.140625" customWidth="1"/>
    <col min="12290" max="12290" width="12.42578125" customWidth="1"/>
    <col min="12291" max="12291" width="20.85546875" customWidth="1"/>
    <col min="12292" max="12293" width="10.42578125" customWidth="1"/>
    <col min="12295" max="12295" width="10.85546875" customWidth="1"/>
    <col min="12297" max="12297" width="9.85546875" bestFit="1" customWidth="1"/>
    <col min="12302" max="12302" width="9.42578125" customWidth="1"/>
    <col min="12303" max="12303" width="12" customWidth="1"/>
    <col min="12304" max="12304" width="13.28515625" customWidth="1"/>
    <col min="12307" max="12307" width="11.28515625" customWidth="1"/>
    <col min="12308" max="12308" width="13.140625" customWidth="1"/>
    <col min="12545" max="12545" width="19.140625" customWidth="1"/>
    <col min="12546" max="12546" width="12.42578125" customWidth="1"/>
    <col min="12547" max="12547" width="20.85546875" customWidth="1"/>
    <col min="12548" max="12549" width="10.42578125" customWidth="1"/>
    <col min="12551" max="12551" width="10.85546875" customWidth="1"/>
    <col min="12553" max="12553" width="9.85546875" bestFit="1" customWidth="1"/>
    <col min="12558" max="12558" width="9.42578125" customWidth="1"/>
    <col min="12559" max="12559" width="12" customWidth="1"/>
    <col min="12560" max="12560" width="13.28515625" customWidth="1"/>
    <col min="12563" max="12563" width="11.28515625" customWidth="1"/>
    <col min="12564" max="12564" width="13.140625" customWidth="1"/>
    <col min="12801" max="12801" width="19.140625" customWidth="1"/>
    <col min="12802" max="12802" width="12.42578125" customWidth="1"/>
    <col min="12803" max="12803" width="20.85546875" customWidth="1"/>
    <col min="12804" max="12805" width="10.42578125" customWidth="1"/>
    <col min="12807" max="12807" width="10.85546875" customWidth="1"/>
    <col min="12809" max="12809" width="9.85546875" bestFit="1" customWidth="1"/>
    <col min="12814" max="12814" width="9.42578125" customWidth="1"/>
    <col min="12815" max="12815" width="12" customWidth="1"/>
    <col min="12816" max="12816" width="13.28515625" customWidth="1"/>
    <col min="12819" max="12819" width="11.28515625" customWidth="1"/>
    <col min="12820" max="12820" width="13.140625" customWidth="1"/>
    <col min="13057" max="13057" width="19.140625" customWidth="1"/>
    <col min="13058" max="13058" width="12.42578125" customWidth="1"/>
    <col min="13059" max="13059" width="20.85546875" customWidth="1"/>
    <col min="13060" max="13061" width="10.42578125" customWidth="1"/>
    <col min="13063" max="13063" width="10.85546875" customWidth="1"/>
    <col min="13065" max="13065" width="9.85546875" bestFit="1" customWidth="1"/>
    <col min="13070" max="13070" width="9.42578125" customWidth="1"/>
    <col min="13071" max="13071" width="12" customWidth="1"/>
    <col min="13072" max="13072" width="13.28515625" customWidth="1"/>
    <col min="13075" max="13075" width="11.28515625" customWidth="1"/>
    <col min="13076" max="13076" width="13.140625" customWidth="1"/>
    <col min="13313" max="13313" width="19.140625" customWidth="1"/>
    <col min="13314" max="13314" width="12.42578125" customWidth="1"/>
    <col min="13315" max="13315" width="20.85546875" customWidth="1"/>
    <col min="13316" max="13317" width="10.42578125" customWidth="1"/>
    <col min="13319" max="13319" width="10.85546875" customWidth="1"/>
    <col min="13321" max="13321" width="9.85546875" bestFit="1" customWidth="1"/>
    <col min="13326" max="13326" width="9.42578125" customWidth="1"/>
    <col min="13327" max="13327" width="12" customWidth="1"/>
    <col min="13328" max="13328" width="13.28515625" customWidth="1"/>
    <col min="13331" max="13331" width="11.28515625" customWidth="1"/>
    <col min="13332" max="13332" width="13.140625" customWidth="1"/>
    <col min="13569" max="13569" width="19.140625" customWidth="1"/>
    <col min="13570" max="13570" width="12.42578125" customWidth="1"/>
    <col min="13571" max="13571" width="20.85546875" customWidth="1"/>
    <col min="13572" max="13573" width="10.42578125" customWidth="1"/>
    <col min="13575" max="13575" width="10.85546875" customWidth="1"/>
    <col min="13577" max="13577" width="9.85546875" bestFit="1" customWidth="1"/>
    <col min="13582" max="13582" width="9.42578125" customWidth="1"/>
    <col min="13583" max="13583" width="12" customWidth="1"/>
    <col min="13584" max="13584" width="13.28515625" customWidth="1"/>
    <col min="13587" max="13587" width="11.28515625" customWidth="1"/>
    <col min="13588" max="13588" width="13.140625" customWidth="1"/>
    <col min="13825" max="13825" width="19.140625" customWidth="1"/>
    <col min="13826" max="13826" width="12.42578125" customWidth="1"/>
    <col min="13827" max="13827" width="20.85546875" customWidth="1"/>
    <col min="13828" max="13829" width="10.42578125" customWidth="1"/>
    <col min="13831" max="13831" width="10.85546875" customWidth="1"/>
    <col min="13833" max="13833" width="9.85546875" bestFit="1" customWidth="1"/>
    <col min="13838" max="13838" width="9.42578125" customWidth="1"/>
    <col min="13839" max="13839" width="12" customWidth="1"/>
    <col min="13840" max="13840" width="13.28515625" customWidth="1"/>
    <col min="13843" max="13843" width="11.28515625" customWidth="1"/>
    <col min="13844" max="13844" width="13.140625" customWidth="1"/>
    <col min="14081" max="14081" width="19.140625" customWidth="1"/>
    <col min="14082" max="14082" width="12.42578125" customWidth="1"/>
    <col min="14083" max="14083" width="20.85546875" customWidth="1"/>
    <col min="14084" max="14085" width="10.42578125" customWidth="1"/>
    <col min="14087" max="14087" width="10.85546875" customWidth="1"/>
    <col min="14089" max="14089" width="9.85546875" bestFit="1" customWidth="1"/>
    <col min="14094" max="14094" width="9.42578125" customWidth="1"/>
    <col min="14095" max="14095" width="12" customWidth="1"/>
    <col min="14096" max="14096" width="13.28515625" customWidth="1"/>
    <col min="14099" max="14099" width="11.28515625" customWidth="1"/>
    <col min="14100" max="14100" width="13.140625" customWidth="1"/>
    <col min="14337" max="14337" width="19.140625" customWidth="1"/>
    <col min="14338" max="14338" width="12.42578125" customWidth="1"/>
    <col min="14339" max="14339" width="20.85546875" customWidth="1"/>
    <col min="14340" max="14341" width="10.42578125" customWidth="1"/>
    <col min="14343" max="14343" width="10.85546875" customWidth="1"/>
    <col min="14345" max="14345" width="9.85546875" bestFit="1" customWidth="1"/>
    <col min="14350" max="14350" width="9.42578125" customWidth="1"/>
    <col min="14351" max="14351" width="12" customWidth="1"/>
    <col min="14352" max="14352" width="13.28515625" customWidth="1"/>
    <col min="14355" max="14355" width="11.28515625" customWidth="1"/>
    <col min="14356" max="14356" width="13.140625" customWidth="1"/>
    <col min="14593" max="14593" width="19.140625" customWidth="1"/>
    <col min="14594" max="14594" width="12.42578125" customWidth="1"/>
    <col min="14595" max="14595" width="20.85546875" customWidth="1"/>
    <col min="14596" max="14597" width="10.42578125" customWidth="1"/>
    <col min="14599" max="14599" width="10.85546875" customWidth="1"/>
    <col min="14601" max="14601" width="9.85546875" bestFit="1" customWidth="1"/>
    <col min="14606" max="14606" width="9.42578125" customWidth="1"/>
    <col min="14607" max="14607" width="12" customWidth="1"/>
    <col min="14608" max="14608" width="13.28515625" customWidth="1"/>
    <col min="14611" max="14611" width="11.28515625" customWidth="1"/>
    <col min="14612" max="14612" width="13.140625" customWidth="1"/>
    <col min="14849" max="14849" width="19.140625" customWidth="1"/>
    <col min="14850" max="14850" width="12.42578125" customWidth="1"/>
    <col min="14851" max="14851" width="20.85546875" customWidth="1"/>
    <col min="14852" max="14853" width="10.42578125" customWidth="1"/>
    <col min="14855" max="14855" width="10.85546875" customWidth="1"/>
    <col min="14857" max="14857" width="9.85546875" bestFit="1" customWidth="1"/>
    <col min="14862" max="14862" width="9.42578125" customWidth="1"/>
    <col min="14863" max="14863" width="12" customWidth="1"/>
    <col min="14864" max="14864" width="13.28515625" customWidth="1"/>
    <col min="14867" max="14867" width="11.28515625" customWidth="1"/>
    <col min="14868" max="14868" width="13.140625" customWidth="1"/>
    <col min="15105" max="15105" width="19.140625" customWidth="1"/>
    <col min="15106" max="15106" width="12.42578125" customWidth="1"/>
    <col min="15107" max="15107" width="20.85546875" customWidth="1"/>
    <col min="15108" max="15109" width="10.42578125" customWidth="1"/>
    <col min="15111" max="15111" width="10.85546875" customWidth="1"/>
    <col min="15113" max="15113" width="9.85546875" bestFit="1" customWidth="1"/>
    <col min="15118" max="15118" width="9.42578125" customWidth="1"/>
    <col min="15119" max="15119" width="12" customWidth="1"/>
    <col min="15120" max="15120" width="13.28515625" customWidth="1"/>
    <col min="15123" max="15123" width="11.28515625" customWidth="1"/>
    <col min="15124" max="15124" width="13.140625" customWidth="1"/>
    <col min="15361" max="15361" width="19.140625" customWidth="1"/>
    <col min="15362" max="15362" width="12.42578125" customWidth="1"/>
    <col min="15363" max="15363" width="20.85546875" customWidth="1"/>
    <col min="15364" max="15365" width="10.42578125" customWidth="1"/>
    <col min="15367" max="15367" width="10.85546875" customWidth="1"/>
    <col min="15369" max="15369" width="9.85546875" bestFit="1" customWidth="1"/>
    <col min="15374" max="15374" width="9.42578125" customWidth="1"/>
    <col min="15375" max="15375" width="12" customWidth="1"/>
    <col min="15376" max="15376" width="13.28515625" customWidth="1"/>
    <col min="15379" max="15379" width="11.28515625" customWidth="1"/>
    <col min="15380" max="15380" width="13.140625" customWidth="1"/>
    <col min="15617" max="15617" width="19.140625" customWidth="1"/>
    <col min="15618" max="15618" width="12.42578125" customWidth="1"/>
    <col min="15619" max="15619" width="20.85546875" customWidth="1"/>
    <col min="15620" max="15621" width="10.42578125" customWidth="1"/>
    <col min="15623" max="15623" width="10.85546875" customWidth="1"/>
    <col min="15625" max="15625" width="9.85546875" bestFit="1" customWidth="1"/>
    <col min="15630" max="15630" width="9.42578125" customWidth="1"/>
    <col min="15631" max="15631" width="12" customWidth="1"/>
    <col min="15632" max="15632" width="13.28515625" customWidth="1"/>
    <col min="15635" max="15635" width="11.28515625" customWidth="1"/>
    <col min="15636" max="15636" width="13.140625" customWidth="1"/>
    <col min="15873" max="15873" width="19.140625" customWidth="1"/>
    <col min="15874" max="15874" width="12.42578125" customWidth="1"/>
    <col min="15875" max="15875" width="20.85546875" customWidth="1"/>
    <col min="15876" max="15877" width="10.42578125" customWidth="1"/>
    <col min="15879" max="15879" width="10.85546875" customWidth="1"/>
    <col min="15881" max="15881" width="9.85546875" bestFit="1" customWidth="1"/>
    <col min="15886" max="15886" width="9.42578125" customWidth="1"/>
    <col min="15887" max="15887" width="12" customWidth="1"/>
    <col min="15888" max="15888" width="13.28515625" customWidth="1"/>
    <col min="15891" max="15891" width="11.28515625" customWidth="1"/>
    <col min="15892" max="15892" width="13.140625" customWidth="1"/>
    <col min="16129" max="16129" width="19.140625" customWidth="1"/>
    <col min="16130" max="16130" width="12.42578125" customWidth="1"/>
    <col min="16131" max="16131" width="20.85546875" customWidth="1"/>
    <col min="16132" max="16133" width="10.42578125" customWidth="1"/>
    <col min="16135" max="16135" width="10.85546875" customWidth="1"/>
    <col min="16137" max="16137" width="9.85546875" bestFit="1" customWidth="1"/>
    <col min="16142" max="16142" width="9.42578125" customWidth="1"/>
    <col min="16143" max="16143" width="12" customWidth="1"/>
    <col min="16144" max="16144" width="13.28515625" customWidth="1"/>
    <col min="16147" max="16147" width="11.28515625" customWidth="1"/>
    <col min="16148" max="16148" width="13.140625" customWidth="1"/>
  </cols>
  <sheetData>
    <row r="2" spans="1:19" ht="15.75" thickBot="1">
      <c r="C2" s="28" t="s">
        <v>1012</v>
      </c>
      <c r="D2" s="28"/>
      <c r="E2" s="28"/>
      <c r="F2" s="28"/>
      <c r="G2" s="28" t="s">
        <v>1013</v>
      </c>
      <c r="J2" s="138"/>
      <c r="K2" s="138"/>
      <c r="L2" s="138"/>
      <c r="M2" s="138"/>
      <c r="N2" s="138"/>
      <c r="O2" s="618"/>
    </row>
    <row r="3" spans="1:19">
      <c r="C3" s="240"/>
      <c r="D3" s="241"/>
      <c r="E3" s="241"/>
      <c r="F3" s="241"/>
      <c r="G3" s="241"/>
      <c r="H3" s="241"/>
      <c r="I3" s="241"/>
      <c r="J3" s="264"/>
      <c r="K3" s="264"/>
      <c r="L3" s="264"/>
      <c r="M3" s="264"/>
      <c r="N3" s="264"/>
      <c r="O3" s="619"/>
    </row>
    <row r="4" spans="1:19">
      <c r="A4" s="265" t="s">
        <v>1</v>
      </c>
      <c r="B4" s="266" t="s">
        <v>8</v>
      </c>
      <c r="C4" s="266" t="s">
        <v>1014</v>
      </c>
      <c r="D4" s="266" t="s">
        <v>951</v>
      </c>
      <c r="E4" s="266" t="s">
        <v>1015</v>
      </c>
      <c r="F4" s="266" t="s">
        <v>611</v>
      </c>
      <c r="G4" s="266" t="s">
        <v>919</v>
      </c>
      <c r="H4" s="266" t="s">
        <v>613</v>
      </c>
      <c r="I4" s="266" t="s">
        <v>611</v>
      </c>
      <c r="J4" s="267" t="s">
        <v>614</v>
      </c>
      <c r="K4" s="267" t="s">
        <v>615</v>
      </c>
      <c r="L4" s="267" t="s">
        <v>613</v>
      </c>
      <c r="M4" s="267" t="s">
        <v>611</v>
      </c>
      <c r="N4" s="267" t="s">
        <v>616</v>
      </c>
      <c r="O4" s="635" t="s">
        <v>617</v>
      </c>
      <c r="P4" s="266" t="s">
        <v>7</v>
      </c>
      <c r="Q4" s="266" t="s">
        <v>920</v>
      </c>
      <c r="S4" s="133"/>
    </row>
    <row r="5" spans="1:19">
      <c r="A5" s="269" t="s">
        <v>44</v>
      </c>
      <c r="B5" s="269" t="s">
        <v>1016</v>
      </c>
      <c r="C5" s="270" t="s">
        <v>47</v>
      </c>
      <c r="D5" s="232" t="s">
        <v>48</v>
      </c>
      <c r="E5" s="232" t="s">
        <v>22</v>
      </c>
      <c r="F5" s="59">
        <v>1.08</v>
      </c>
      <c r="G5" s="636">
        <v>7.7000000000000011</v>
      </c>
      <c r="H5" s="60"/>
      <c r="I5" s="59">
        <v>0.8</v>
      </c>
      <c r="J5" s="115">
        <v>6.27</v>
      </c>
      <c r="K5" s="115">
        <v>5.3100000000000005</v>
      </c>
      <c r="L5" s="115">
        <v>0.25</v>
      </c>
      <c r="M5" s="115">
        <v>1</v>
      </c>
      <c r="N5" s="115">
        <v>4.4850000000000003</v>
      </c>
      <c r="O5" s="637">
        <f t="shared" ref="O5:O14" si="0">(F5*(G5-G5*H5)+I5*((J5+K5)-(J5+K5)*L5)/2+M5*N5)*1.015</f>
        <v>16.519124999999999</v>
      </c>
      <c r="P5" t="s">
        <v>45</v>
      </c>
      <c r="Q5" s="248">
        <v>45200</v>
      </c>
      <c r="S5" s="271"/>
    </row>
    <row r="6" spans="1:19">
      <c r="A6" s="272" t="s">
        <v>44</v>
      </c>
      <c r="B6" s="272" t="s">
        <v>1016</v>
      </c>
      <c r="C6" s="226" t="s">
        <v>49</v>
      </c>
      <c r="D6" s="227" t="s">
        <v>50</v>
      </c>
      <c r="E6" s="227" t="s">
        <v>24</v>
      </c>
      <c r="F6" s="11">
        <v>1.08</v>
      </c>
      <c r="G6" s="623">
        <v>9.9</v>
      </c>
      <c r="H6" s="12"/>
      <c r="I6" s="11">
        <v>0.8</v>
      </c>
      <c r="J6" s="92">
        <v>8.9700000000000006</v>
      </c>
      <c r="K6" s="92">
        <v>7.7099999999999991</v>
      </c>
      <c r="L6" s="92">
        <f t="shared" ref="L6:L14" si="1">L5</f>
        <v>0.25</v>
      </c>
      <c r="M6" s="92">
        <v>1</v>
      </c>
      <c r="N6" s="92">
        <v>5.3819999999999997</v>
      </c>
      <c r="O6" s="624">
        <f t="shared" si="0"/>
        <v>21.394170000000003</v>
      </c>
      <c r="P6" t="s">
        <v>45</v>
      </c>
      <c r="Q6" s="248">
        <f>Q5</f>
        <v>45200</v>
      </c>
      <c r="S6" s="271"/>
    </row>
    <row r="7" spans="1:19">
      <c r="A7" s="272" t="s">
        <v>44</v>
      </c>
      <c r="B7" s="272" t="s">
        <v>1016</v>
      </c>
      <c r="C7" s="226" t="s">
        <v>51</v>
      </c>
      <c r="D7" s="227" t="s">
        <v>52</v>
      </c>
      <c r="E7" s="227" t="s">
        <v>26</v>
      </c>
      <c r="F7" s="11">
        <v>1.08</v>
      </c>
      <c r="G7" s="623">
        <v>15.400000000000002</v>
      </c>
      <c r="H7" s="12"/>
      <c r="I7" s="11">
        <v>0.8</v>
      </c>
      <c r="J7" s="92">
        <v>12.99</v>
      </c>
      <c r="K7" s="92">
        <v>13.47</v>
      </c>
      <c r="L7" s="92">
        <f t="shared" si="1"/>
        <v>0.25</v>
      </c>
      <c r="M7" s="92">
        <v>1</v>
      </c>
      <c r="N7" s="92">
        <v>7.2881249999999991</v>
      </c>
      <c r="O7" s="624">
        <f t="shared" si="0"/>
        <v>32.335996874999999</v>
      </c>
      <c r="P7" t="s">
        <v>45</v>
      </c>
      <c r="Q7" s="248">
        <f t="shared" ref="Q7:Q14" si="2">Q6</f>
        <v>45200</v>
      </c>
      <c r="S7" s="271"/>
    </row>
    <row r="8" spans="1:19">
      <c r="A8" s="272" t="s">
        <v>44</v>
      </c>
      <c r="B8" s="272" t="s">
        <v>1016</v>
      </c>
      <c r="C8" s="226" t="s">
        <v>53</v>
      </c>
      <c r="D8" s="227" t="s">
        <v>54</v>
      </c>
      <c r="E8" s="227" t="s">
        <v>28</v>
      </c>
      <c r="F8" s="11">
        <v>1.08</v>
      </c>
      <c r="G8" s="623">
        <v>17.600000000000001</v>
      </c>
      <c r="H8" s="12"/>
      <c r="I8" s="11">
        <v>0.8</v>
      </c>
      <c r="J8" s="92">
        <v>25.410000000000004</v>
      </c>
      <c r="K8" s="92">
        <v>24.599999999999998</v>
      </c>
      <c r="L8" s="92">
        <f t="shared" si="1"/>
        <v>0.25</v>
      </c>
      <c r="M8" s="92">
        <v>1</v>
      </c>
      <c r="N8" s="92">
        <v>9.0148499999999991</v>
      </c>
      <c r="O8" s="624">
        <f t="shared" si="0"/>
        <v>43.671237750000003</v>
      </c>
      <c r="P8" t="s">
        <v>45</v>
      </c>
      <c r="Q8" s="248">
        <f t="shared" si="2"/>
        <v>45200</v>
      </c>
      <c r="S8" s="271"/>
    </row>
    <row r="9" spans="1:19">
      <c r="A9" s="272" t="s">
        <v>44</v>
      </c>
      <c r="B9" s="272" t="s">
        <v>1016</v>
      </c>
      <c r="C9" s="226" t="s">
        <v>55</v>
      </c>
      <c r="D9" s="227" t="s">
        <v>56</v>
      </c>
      <c r="E9" s="227" t="s">
        <v>30</v>
      </c>
      <c r="F9" s="11">
        <v>1.08</v>
      </c>
      <c r="G9" s="623">
        <v>22</v>
      </c>
      <c r="H9" s="12"/>
      <c r="I9" s="11">
        <v>0.8</v>
      </c>
      <c r="J9" s="92">
        <v>33.869999999999997</v>
      </c>
      <c r="K9" s="92">
        <v>31.29</v>
      </c>
      <c r="L9" s="92">
        <f t="shared" si="1"/>
        <v>0.25</v>
      </c>
      <c r="M9" s="92">
        <v>1</v>
      </c>
      <c r="N9" s="92">
        <v>10.920974999999999</v>
      </c>
      <c r="O9" s="624">
        <f t="shared" si="0"/>
        <v>55.042409624999998</v>
      </c>
      <c r="P9" t="s">
        <v>45</v>
      </c>
      <c r="Q9" s="248">
        <f t="shared" si="2"/>
        <v>45200</v>
      </c>
      <c r="S9" s="271"/>
    </row>
    <row r="10" spans="1:19">
      <c r="A10" s="272" t="s">
        <v>44</v>
      </c>
      <c r="B10" s="272" t="s">
        <v>1016</v>
      </c>
      <c r="C10" s="226" t="s">
        <v>57</v>
      </c>
      <c r="D10" s="227" t="s">
        <v>1017</v>
      </c>
      <c r="E10" s="227" t="s">
        <v>32</v>
      </c>
      <c r="F10" s="11">
        <v>1.08</v>
      </c>
      <c r="G10" s="623">
        <v>24.200000000000003</v>
      </c>
      <c r="H10" s="12"/>
      <c r="I10" s="11">
        <v>0.6</v>
      </c>
      <c r="J10" s="92">
        <v>49.349999999999994</v>
      </c>
      <c r="K10" s="92">
        <v>39.36</v>
      </c>
      <c r="L10" s="92">
        <f t="shared" si="1"/>
        <v>0.25</v>
      </c>
      <c r="M10" s="92">
        <v>1</v>
      </c>
      <c r="N10" s="92">
        <v>14.912625000000002</v>
      </c>
      <c r="O10" s="624">
        <f t="shared" si="0"/>
        <v>61.92350062500001</v>
      </c>
      <c r="P10" t="s">
        <v>45</v>
      </c>
      <c r="Q10" s="248">
        <f t="shared" si="2"/>
        <v>45200</v>
      </c>
      <c r="S10" s="271"/>
    </row>
    <row r="11" spans="1:19">
      <c r="A11" s="272" t="s">
        <v>44</v>
      </c>
      <c r="B11" s="272" t="s">
        <v>1016</v>
      </c>
      <c r="C11" s="226" t="s">
        <v>59</v>
      </c>
      <c r="D11" s="227" t="s">
        <v>1018</v>
      </c>
      <c r="E11" s="227" t="s">
        <v>34</v>
      </c>
      <c r="F11" s="11">
        <v>1.08</v>
      </c>
      <c r="G11" s="623">
        <v>38.5</v>
      </c>
      <c r="H11" s="12"/>
      <c r="I11" s="11">
        <v>0.6</v>
      </c>
      <c r="J11" s="92">
        <v>113.88</v>
      </c>
      <c r="K11" s="92">
        <v>105.44999999999999</v>
      </c>
      <c r="L11" s="92">
        <f>L10</f>
        <v>0.25</v>
      </c>
      <c r="M11" s="92">
        <v>1</v>
      </c>
      <c r="N11" s="92">
        <v>17.312100000000001</v>
      </c>
      <c r="O11" s="624">
        <f t="shared" si="0"/>
        <v>109.86497024999998</v>
      </c>
      <c r="P11" t="s">
        <v>45</v>
      </c>
      <c r="Q11" s="248">
        <f t="shared" si="2"/>
        <v>45200</v>
      </c>
      <c r="S11" s="271"/>
    </row>
    <row r="12" spans="1:19">
      <c r="A12" s="272" t="s">
        <v>44</v>
      </c>
      <c r="B12" s="272" t="s">
        <v>1016</v>
      </c>
      <c r="C12" s="226" t="s">
        <v>60</v>
      </c>
      <c r="D12" s="227" t="s">
        <v>61</v>
      </c>
      <c r="E12" s="227" t="s">
        <v>36</v>
      </c>
      <c r="F12" s="11">
        <v>1.06</v>
      </c>
      <c r="G12" s="623">
        <v>41.800000000000004</v>
      </c>
      <c r="H12" s="12"/>
      <c r="I12" s="11">
        <v>0.6</v>
      </c>
      <c r="J12" s="92">
        <v>161.39999999999998</v>
      </c>
      <c r="K12" s="92">
        <v>183.21</v>
      </c>
      <c r="L12" s="92">
        <f>L10</f>
        <v>0.25</v>
      </c>
      <c r="M12" s="92">
        <v>1</v>
      </c>
      <c r="N12" s="92">
        <v>20.317050000000002</v>
      </c>
      <c r="O12" s="624">
        <f t="shared" si="0"/>
        <v>144.29473449999998</v>
      </c>
      <c r="P12" t="s">
        <v>45</v>
      </c>
      <c r="Q12" s="248">
        <f t="shared" si="2"/>
        <v>45200</v>
      </c>
      <c r="S12" s="271"/>
    </row>
    <row r="13" spans="1:19">
      <c r="A13" s="272" t="s">
        <v>44</v>
      </c>
      <c r="B13" s="272" t="s">
        <v>1016</v>
      </c>
      <c r="C13" s="226" t="s">
        <v>62</v>
      </c>
      <c r="D13" s="227" t="s">
        <v>926</v>
      </c>
      <c r="E13" s="227" t="s">
        <v>38</v>
      </c>
      <c r="F13" s="11">
        <v>1.06</v>
      </c>
      <c r="G13" s="623">
        <v>55.000000000000007</v>
      </c>
      <c r="H13" s="12"/>
      <c r="I13" s="11">
        <v>0.5</v>
      </c>
      <c r="J13" s="92">
        <v>540</v>
      </c>
      <c r="K13" s="92">
        <v>360</v>
      </c>
      <c r="L13" s="92">
        <f t="shared" si="1"/>
        <v>0.25</v>
      </c>
      <c r="M13" s="92">
        <v>1</v>
      </c>
      <c r="N13" s="92">
        <v>26.797874999999998</v>
      </c>
      <c r="O13" s="624">
        <f t="shared" si="0"/>
        <v>257.655593125</v>
      </c>
      <c r="P13" t="s">
        <v>45</v>
      </c>
      <c r="Q13" s="248">
        <f t="shared" si="2"/>
        <v>45200</v>
      </c>
      <c r="S13" s="271"/>
    </row>
    <row r="14" spans="1:19">
      <c r="A14" s="272" t="s">
        <v>44</v>
      </c>
      <c r="B14" s="272" t="s">
        <v>1016</v>
      </c>
      <c r="C14" s="226" t="s">
        <v>63</v>
      </c>
      <c r="D14" s="227" t="s">
        <v>64</v>
      </c>
      <c r="E14" s="227" t="s">
        <v>65</v>
      </c>
      <c r="F14" s="11">
        <v>1.06</v>
      </c>
      <c r="G14" s="623">
        <v>105.60000000000001</v>
      </c>
      <c r="H14" s="12"/>
      <c r="I14" s="11">
        <v>0.5</v>
      </c>
      <c r="J14" s="92">
        <v>323.25</v>
      </c>
      <c r="K14" s="92">
        <v>274.5</v>
      </c>
      <c r="L14" s="92">
        <f t="shared" si="1"/>
        <v>0.25</v>
      </c>
      <c r="M14" s="92">
        <v>1</v>
      </c>
      <c r="N14" s="92">
        <v>26.797874999999998</v>
      </c>
      <c r="O14" s="624">
        <f t="shared" si="0"/>
        <v>254.57418000000001</v>
      </c>
      <c r="P14" t="s">
        <v>45</v>
      </c>
      <c r="Q14" s="248">
        <f t="shared" si="2"/>
        <v>45200</v>
      </c>
      <c r="S14" s="271"/>
    </row>
    <row r="17" spans="1:19" ht="15.75" thickBot="1">
      <c r="C17" s="28" t="s">
        <v>1012</v>
      </c>
      <c r="D17" s="28"/>
      <c r="E17" s="28"/>
      <c r="F17" s="28"/>
      <c r="G17" s="28" t="s">
        <v>1019</v>
      </c>
      <c r="J17" s="138"/>
      <c r="K17" s="138"/>
      <c r="L17" s="138"/>
      <c r="M17" s="138"/>
      <c r="N17" s="138"/>
      <c r="O17" s="618"/>
    </row>
    <row r="18" spans="1:19">
      <c r="C18" s="240"/>
      <c r="D18" s="241"/>
      <c r="E18" s="241"/>
      <c r="F18" s="241"/>
      <c r="G18" s="241"/>
      <c r="H18" s="241"/>
      <c r="I18" s="241"/>
      <c r="J18" s="264"/>
      <c r="K18" s="264"/>
      <c r="L18" s="264"/>
      <c r="M18" s="264"/>
      <c r="N18" s="264"/>
      <c r="O18" s="619"/>
    </row>
    <row r="19" spans="1:19">
      <c r="C19" s="273" t="s">
        <v>769</v>
      </c>
      <c r="D19" t="s">
        <v>1020</v>
      </c>
      <c r="F19" t="s">
        <v>611</v>
      </c>
      <c r="G19" t="s">
        <v>919</v>
      </c>
      <c r="H19" t="s">
        <v>613</v>
      </c>
      <c r="I19" t="s">
        <v>611</v>
      </c>
      <c r="J19" s="138" t="s">
        <v>614</v>
      </c>
      <c r="K19" s="138" t="s">
        <v>615</v>
      </c>
      <c r="L19" s="138" t="s">
        <v>613</v>
      </c>
      <c r="M19" s="138" t="s">
        <v>611</v>
      </c>
      <c r="N19" s="138" t="s">
        <v>616</v>
      </c>
      <c r="O19" s="620" t="s">
        <v>617</v>
      </c>
      <c r="S19" s="133"/>
    </row>
    <row r="20" spans="1:19">
      <c r="A20" s="272" t="s">
        <v>1021</v>
      </c>
      <c r="B20" s="272" t="s">
        <v>69</v>
      </c>
      <c r="C20" s="226" t="s">
        <v>47</v>
      </c>
      <c r="D20" s="227" t="s">
        <v>48</v>
      </c>
      <c r="E20" s="227" t="s">
        <v>22</v>
      </c>
      <c r="F20" s="11">
        <v>1.08</v>
      </c>
      <c r="G20" s="623">
        <v>20.66</v>
      </c>
      <c r="H20" s="12"/>
      <c r="I20" s="11">
        <v>0.8</v>
      </c>
      <c r="J20" s="92">
        <v>6.27</v>
      </c>
      <c r="K20" s="92">
        <v>5.3100000000000005</v>
      </c>
      <c r="L20" s="92">
        <v>0.25</v>
      </c>
      <c r="M20" s="92">
        <v>1</v>
      </c>
      <c r="N20" s="92">
        <v>4.4850000000000003</v>
      </c>
      <c r="O20" s="624">
        <f t="shared" ref="O20:O28" si="3">(F20*(G20-G20*H20)+I20*((J20+K20)-(J20+K20)*L20)/2+M20*N20)*1.015</f>
        <v>30.725877000000001</v>
      </c>
      <c r="P20" t="str">
        <f t="shared" ref="P20:Q31" si="4">P5</f>
        <v>Tasta</v>
      </c>
      <c r="Q20" s="248">
        <f t="shared" si="4"/>
        <v>45200</v>
      </c>
      <c r="S20" s="271"/>
    </row>
    <row r="21" spans="1:19">
      <c r="A21" s="272" t="s">
        <v>1021</v>
      </c>
      <c r="B21" s="272" t="s">
        <v>69</v>
      </c>
      <c r="C21" s="226" t="s">
        <v>49</v>
      </c>
      <c r="D21" s="227" t="s">
        <v>50</v>
      </c>
      <c r="E21" s="227" t="s">
        <v>24</v>
      </c>
      <c r="F21" s="11">
        <v>1.08</v>
      </c>
      <c r="G21" s="623">
        <v>24.38</v>
      </c>
      <c r="H21" s="12"/>
      <c r="I21" s="11">
        <v>0.8</v>
      </c>
      <c r="J21" s="92">
        <v>8.9700000000000006</v>
      </c>
      <c r="K21" s="92">
        <v>7.7099999999999991</v>
      </c>
      <c r="L21" s="92">
        <f t="shared" ref="L21:L29" si="5">L20</f>
        <v>0.25</v>
      </c>
      <c r="M21" s="92">
        <v>1</v>
      </c>
      <c r="N21" s="92">
        <v>5.3819999999999997</v>
      </c>
      <c r="O21" s="624">
        <f t="shared" si="3"/>
        <v>37.267145999999997</v>
      </c>
      <c r="P21" t="str">
        <f t="shared" si="4"/>
        <v>Tasta</v>
      </c>
      <c r="Q21" s="248">
        <f t="shared" si="4"/>
        <v>45200</v>
      </c>
      <c r="S21" s="271"/>
    </row>
    <row r="22" spans="1:19">
      <c r="A22" s="272" t="s">
        <v>1021</v>
      </c>
      <c r="B22" s="272" t="s">
        <v>69</v>
      </c>
      <c r="C22" s="226" t="s">
        <v>51</v>
      </c>
      <c r="D22" s="227" t="s">
        <v>52</v>
      </c>
      <c r="E22" s="227" t="s">
        <v>26</v>
      </c>
      <c r="F22" s="11">
        <v>1.08</v>
      </c>
      <c r="G22" s="623">
        <v>34.35</v>
      </c>
      <c r="H22" s="12"/>
      <c r="I22" s="11">
        <v>0.8</v>
      </c>
      <c r="J22" s="92">
        <v>12.99</v>
      </c>
      <c r="K22" s="92">
        <v>13.47</v>
      </c>
      <c r="L22" s="92">
        <f t="shared" si="5"/>
        <v>0.25</v>
      </c>
      <c r="M22" s="92">
        <v>1</v>
      </c>
      <c r="N22" s="92">
        <v>7.2881249999999991</v>
      </c>
      <c r="O22" s="624">
        <f t="shared" si="3"/>
        <v>53.108986875000006</v>
      </c>
      <c r="P22" t="str">
        <f t="shared" si="4"/>
        <v>Tasta</v>
      </c>
      <c r="Q22" s="248">
        <f t="shared" si="4"/>
        <v>45200</v>
      </c>
      <c r="S22" s="271"/>
    </row>
    <row r="23" spans="1:19">
      <c r="A23" s="272" t="s">
        <v>1021</v>
      </c>
      <c r="B23" s="272" t="s">
        <v>69</v>
      </c>
      <c r="C23" s="226" t="s">
        <v>53</v>
      </c>
      <c r="D23" s="227" t="s">
        <v>54</v>
      </c>
      <c r="E23" s="227" t="s">
        <v>28</v>
      </c>
      <c r="F23" s="11">
        <v>1.08</v>
      </c>
      <c r="G23" s="623">
        <v>44.87</v>
      </c>
      <c r="H23" s="12"/>
      <c r="I23" s="11">
        <v>0.8</v>
      </c>
      <c r="J23" s="92">
        <v>25.410000000000004</v>
      </c>
      <c r="K23" s="92">
        <v>24.599999999999998</v>
      </c>
      <c r="L23" s="92">
        <f t="shared" si="5"/>
        <v>0.25</v>
      </c>
      <c r="M23" s="92">
        <v>1</v>
      </c>
      <c r="N23" s="92">
        <v>9.0148499999999991</v>
      </c>
      <c r="O23" s="624">
        <f t="shared" si="3"/>
        <v>73.564611749999997</v>
      </c>
      <c r="P23" t="str">
        <f t="shared" si="4"/>
        <v>Tasta</v>
      </c>
      <c r="Q23" s="248">
        <f t="shared" si="4"/>
        <v>45200</v>
      </c>
      <c r="S23" s="271"/>
    </row>
    <row r="24" spans="1:19">
      <c r="A24" s="272" t="s">
        <v>1021</v>
      </c>
      <c r="B24" s="272" t="s">
        <v>69</v>
      </c>
      <c r="C24" s="226" t="s">
        <v>55</v>
      </c>
      <c r="D24" s="227" t="s">
        <v>56</v>
      </c>
      <c r="E24" s="227" t="s">
        <v>30</v>
      </c>
      <c r="F24" s="11">
        <v>1.08</v>
      </c>
      <c r="G24" s="623">
        <v>50.34</v>
      </c>
      <c r="H24" s="12"/>
      <c r="I24" s="11">
        <v>0.8</v>
      </c>
      <c r="J24" s="92">
        <v>33.869999999999997</v>
      </c>
      <c r="K24" s="92">
        <v>31.29</v>
      </c>
      <c r="L24" s="92">
        <f t="shared" si="5"/>
        <v>0.25</v>
      </c>
      <c r="M24" s="92">
        <v>1</v>
      </c>
      <c r="N24" s="92">
        <v>10.920974999999999</v>
      </c>
      <c r="O24" s="624">
        <f t="shared" si="3"/>
        <v>86.108717624999983</v>
      </c>
      <c r="P24" t="str">
        <f t="shared" si="4"/>
        <v>Tasta</v>
      </c>
      <c r="Q24" s="248">
        <f t="shared" si="4"/>
        <v>45200</v>
      </c>
      <c r="S24" s="271"/>
    </row>
    <row r="25" spans="1:19">
      <c r="A25" s="272" t="s">
        <v>1021</v>
      </c>
      <c r="B25" s="272" t="s">
        <v>69</v>
      </c>
      <c r="C25" s="226" t="s">
        <v>57</v>
      </c>
      <c r="D25" s="227" t="s">
        <v>1017</v>
      </c>
      <c r="E25" s="227" t="s">
        <v>32</v>
      </c>
      <c r="F25" s="11">
        <v>1.08</v>
      </c>
      <c r="G25" s="623">
        <v>65.819999999999993</v>
      </c>
      <c r="H25" s="12"/>
      <c r="I25" s="11">
        <v>0.6</v>
      </c>
      <c r="J25" s="92">
        <v>49.349999999999994</v>
      </c>
      <c r="K25" s="92">
        <v>39.36</v>
      </c>
      <c r="L25" s="92">
        <f t="shared" si="5"/>
        <v>0.25</v>
      </c>
      <c r="M25" s="92">
        <v>1</v>
      </c>
      <c r="N25" s="92">
        <v>14.912625000000002</v>
      </c>
      <c r="O25" s="624">
        <f t="shared" si="3"/>
        <v>107.54734462499999</v>
      </c>
      <c r="P25" t="str">
        <f t="shared" si="4"/>
        <v>Tasta</v>
      </c>
      <c r="Q25" s="248">
        <f t="shared" si="4"/>
        <v>45200</v>
      </c>
      <c r="S25" s="271"/>
    </row>
    <row r="26" spans="1:19">
      <c r="A26" s="272" t="s">
        <v>1021</v>
      </c>
      <c r="B26" s="272" t="s">
        <v>69</v>
      </c>
      <c r="C26" s="226" t="s">
        <v>59</v>
      </c>
      <c r="D26" s="227" t="s">
        <v>1018</v>
      </c>
      <c r="E26" s="227" t="s">
        <v>34</v>
      </c>
      <c r="F26" s="11">
        <v>1.08</v>
      </c>
      <c r="G26" s="623">
        <v>84.35</v>
      </c>
      <c r="H26" s="12"/>
      <c r="I26" s="11">
        <v>0.6</v>
      </c>
      <c r="J26" s="92">
        <v>113.88</v>
      </c>
      <c r="K26" s="92">
        <v>105.44999999999999</v>
      </c>
      <c r="L26" s="92">
        <f>L25</f>
        <v>0.25</v>
      </c>
      <c r="M26" s="92">
        <v>1</v>
      </c>
      <c r="N26" s="92">
        <v>17.312100000000001</v>
      </c>
      <c r="O26" s="624">
        <f t="shared" si="3"/>
        <v>160.12574024999998</v>
      </c>
      <c r="P26" t="str">
        <f t="shared" si="4"/>
        <v>Tasta</v>
      </c>
      <c r="Q26" s="248">
        <f t="shared" si="4"/>
        <v>45200</v>
      </c>
      <c r="S26" s="271"/>
    </row>
    <row r="27" spans="1:19">
      <c r="A27" s="272" t="s">
        <v>1021</v>
      </c>
      <c r="B27" s="272" t="s">
        <v>69</v>
      </c>
      <c r="C27" s="226" t="s">
        <v>60</v>
      </c>
      <c r="D27" s="227" t="s">
        <v>61</v>
      </c>
      <c r="E27" s="227" t="s">
        <v>36</v>
      </c>
      <c r="F27" s="11">
        <v>1.06</v>
      </c>
      <c r="G27" s="623">
        <v>100.10000000000001</v>
      </c>
      <c r="H27" s="12"/>
      <c r="I27" s="11">
        <v>0.6</v>
      </c>
      <c r="J27" s="92">
        <v>161.39999999999998</v>
      </c>
      <c r="K27" s="92">
        <v>183.21</v>
      </c>
      <c r="L27" s="92">
        <f>L25</f>
        <v>0.25</v>
      </c>
      <c r="M27" s="92">
        <v>1</v>
      </c>
      <c r="N27" s="92">
        <v>20.317050000000002</v>
      </c>
      <c r="O27" s="624">
        <f t="shared" si="3"/>
        <v>207.01970449999996</v>
      </c>
      <c r="P27" t="str">
        <f t="shared" si="4"/>
        <v>Tasta</v>
      </c>
      <c r="Q27" s="248">
        <f t="shared" si="4"/>
        <v>45200</v>
      </c>
      <c r="S27" s="271"/>
    </row>
    <row r="28" spans="1:19">
      <c r="A28" s="272" t="s">
        <v>1021</v>
      </c>
      <c r="B28" s="272" t="s">
        <v>69</v>
      </c>
      <c r="C28" s="226" t="s">
        <v>62</v>
      </c>
      <c r="D28" s="227" t="s">
        <v>926</v>
      </c>
      <c r="E28" s="227" t="s">
        <v>38</v>
      </c>
      <c r="F28" s="11">
        <v>1.06</v>
      </c>
      <c r="G28" s="623">
        <v>142.1</v>
      </c>
      <c r="H28" s="12"/>
      <c r="I28" s="11">
        <v>0.5</v>
      </c>
      <c r="J28" s="92">
        <v>540</v>
      </c>
      <c r="K28" s="92">
        <v>360</v>
      </c>
      <c r="L28" s="92">
        <f t="shared" si="5"/>
        <v>0.25</v>
      </c>
      <c r="M28" s="92">
        <v>1</v>
      </c>
      <c r="N28" s="92">
        <v>26.797874999999998</v>
      </c>
      <c r="O28" s="624">
        <f t="shared" si="3"/>
        <v>351.36648312499995</v>
      </c>
      <c r="P28" t="str">
        <f t="shared" si="4"/>
        <v>Tasta</v>
      </c>
      <c r="Q28" s="248">
        <f t="shared" si="4"/>
        <v>45200</v>
      </c>
      <c r="S28" s="271"/>
    </row>
    <row r="29" spans="1:19">
      <c r="A29" s="272" t="s">
        <v>1021</v>
      </c>
      <c r="B29" s="272" t="s">
        <v>69</v>
      </c>
      <c r="C29" s="226" t="s">
        <v>63</v>
      </c>
      <c r="D29" s="227" t="s">
        <v>64</v>
      </c>
      <c r="E29" s="227" t="s">
        <v>65</v>
      </c>
      <c r="F29" s="11">
        <v>1.06</v>
      </c>
      <c r="G29" s="623">
        <v>164.81</v>
      </c>
      <c r="H29" s="12"/>
      <c r="I29" s="11">
        <v>0.5</v>
      </c>
      <c r="J29" s="92">
        <v>323.25</v>
      </c>
      <c r="K29" s="92">
        <v>274.5</v>
      </c>
      <c r="L29" s="92">
        <f t="shared" si="5"/>
        <v>0.25</v>
      </c>
      <c r="M29" s="92">
        <v>1</v>
      </c>
      <c r="N29" s="92">
        <v>26.797874999999998</v>
      </c>
      <c r="O29" s="624">
        <f>(F29*(G29-G29*H29)+I29*((J29+K29)-(J29+K29)*L29)/2+M29*N29)*1.015</f>
        <v>318.27821899999992</v>
      </c>
      <c r="P29" t="str">
        <f t="shared" si="4"/>
        <v>Tasta</v>
      </c>
      <c r="Q29" s="248">
        <f t="shared" si="4"/>
        <v>45200</v>
      </c>
      <c r="S29" s="271"/>
    </row>
    <row r="30" spans="1:19">
      <c r="A30" s="272" t="s">
        <v>1021</v>
      </c>
      <c r="B30" s="272" t="s">
        <v>69</v>
      </c>
      <c r="C30" s="226" t="s">
        <v>1022</v>
      </c>
      <c r="D30" s="227" t="s">
        <v>85</v>
      </c>
      <c r="E30" s="227"/>
      <c r="F30" s="11">
        <v>1.06</v>
      </c>
      <c r="G30" s="623">
        <v>201.25</v>
      </c>
      <c r="H30" s="12"/>
      <c r="I30" s="11">
        <v>0.5</v>
      </c>
      <c r="J30" s="274">
        <v>530</v>
      </c>
      <c r="K30" s="274">
        <v>245</v>
      </c>
      <c r="L30" s="92">
        <v>0.25</v>
      </c>
      <c r="M30" s="92">
        <v>1</v>
      </c>
      <c r="N30" s="92">
        <v>49.87</v>
      </c>
      <c r="O30" s="624">
        <f>(F30*(G30-G30*H30)+I30*((J30+K30)-(J30+K30)*L30)/2+M30*N30)*1.015</f>
        <v>414.63511249999999</v>
      </c>
      <c r="P30">
        <f>P15</f>
        <v>0</v>
      </c>
      <c r="Q30" s="248">
        <f t="shared" si="4"/>
        <v>0</v>
      </c>
      <c r="S30" s="271"/>
    </row>
    <row r="31" spans="1:19">
      <c r="A31" s="272" t="s">
        <v>1021</v>
      </c>
      <c r="B31" s="272" t="s">
        <v>69</v>
      </c>
      <c r="C31" s="226" t="s">
        <v>72</v>
      </c>
      <c r="D31" s="227" t="s">
        <v>73</v>
      </c>
      <c r="E31" s="227"/>
      <c r="F31" s="11">
        <v>1.06</v>
      </c>
      <c r="G31" s="623">
        <v>450</v>
      </c>
      <c r="H31" s="12"/>
      <c r="I31" s="11">
        <v>0.5</v>
      </c>
      <c r="J31" s="274">
        <v>700</v>
      </c>
      <c r="K31" s="274">
        <v>250</v>
      </c>
      <c r="L31" s="92">
        <f>L28</f>
        <v>0.25</v>
      </c>
      <c r="M31" s="92">
        <v>1</v>
      </c>
      <c r="N31" s="92">
        <v>66.994687499999998</v>
      </c>
      <c r="O31" s="624">
        <f>(F31*(G31-G31*H31)+I31*((J31+K31)-(J31+K31)*L31)/2+M31*N31)*1.015</f>
        <v>732.95148281249999</v>
      </c>
      <c r="P31">
        <f>P16</f>
        <v>0</v>
      </c>
      <c r="Q31" s="248">
        <f t="shared" si="4"/>
        <v>0</v>
      </c>
    </row>
    <row r="32" spans="1:19">
      <c r="C32" s="226"/>
      <c r="D32" s="227"/>
      <c r="E32" s="227"/>
      <c r="F32" s="11"/>
      <c r="G32" s="623"/>
      <c r="H32" s="12"/>
      <c r="I32" s="11"/>
      <c r="J32" s="274"/>
      <c r="K32" s="274"/>
      <c r="L32" s="92"/>
      <c r="M32" s="92"/>
      <c r="N32" s="92"/>
      <c r="O32" s="624"/>
    </row>
    <row r="33" spans="1:17">
      <c r="C33" s="226"/>
      <c r="D33" s="227"/>
      <c r="E33" s="227"/>
      <c r="F33" s="11"/>
      <c r="G33" s="623"/>
      <c r="H33" s="12"/>
      <c r="I33" s="11"/>
      <c r="J33" s="275"/>
      <c r="K33" s="275"/>
      <c r="L33" s="92"/>
      <c r="M33" s="92"/>
      <c r="N33" s="92"/>
      <c r="O33" s="624"/>
    </row>
    <row r="36" spans="1:17" ht="15.75" thickBot="1">
      <c r="A36" s="40"/>
      <c r="B36" s="40"/>
      <c r="D36" s="28" t="s">
        <v>1023</v>
      </c>
      <c r="E36" s="276">
        <v>45736</v>
      </c>
      <c r="F36" s="28"/>
      <c r="G36" s="28" t="s">
        <v>1024</v>
      </c>
      <c r="J36" s="138"/>
      <c r="K36" s="138"/>
      <c r="L36" s="138"/>
      <c r="M36" s="138"/>
      <c r="N36" s="138" t="s">
        <v>1025</v>
      </c>
      <c r="O36" s="632"/>
    </row>
    <row r="37" spans="1:17">
      <c r="A37" s="40"/>
      <c r="B37" s="40"/>
      <c r="D37" s="240"/>
      <c r="E37" s="241"/>
      <c r="F37" s="241"/>
      <c r="G37" s="241"/>
      <c r="H37" s="241"/>
      <c r="I37" s="241"/>
      <c r="J37" s="264"/>
      <c r="K37" s="264"/>
      <c r="L37" s="264"/>
      <c r="M37" s="264"/>
      <c r="N37" s="264"/>
      <c r="O37" s="633"/>
    </row>
    <row r="38" spans="1:17">
      <c r="A38" s="40"/>
      <c r="B38" s="40"/>
      <c r="D38" s="277"/>
      <c r="J38" s="138"/>
      <c r="K38" s="138"/>
      <c r="L38" s="138"/>
      <c r="M38" s="138"/>
      <c r="N38" s="138"/>
      <c r="O38" s="634"/>
    </row>
    <row r="39" spans="1:17">
      <c r="A39" s="40"/>
      <c r="B39" s="40"/>
      <c r="D39" s="273"/>
      <c r="J39" s="138"/>
      <c r="K39" s="138"/>
      <c r="L39" s="138"/>
      <c r="M39" s="138"/>
      <c r="N39" s="278"/>
      <c r="O39" s="634"/>
    </row>
    <row r="40" spans="1:17">
      <c r="A40" s="279" t="s">
        <v>1</v>
      </c>
      <c r="B40" s="237" t="s">
        <v>1025</v>
      </c>
      <c r="C40" s="148" t="s">
        <v>1014</v>
      </c>
      <c r="D40" s="148" t="s">
        <v>951</v>
      </c>
      <c r="E40" s="148" t="s">
        <v>1015</v>
      </c>
      <c r="F40" t="s">
        <v>611</v>
      </c>
      <c r="G40" t="s">
        <v>919</v>
      </c>
      <c r="H40" t="s">
        <v>613</v>
      </c>
      <c r="I40" t="s">
        <v>611</v>
      </c>
      <c r="J40" s="138" t="s">
        <v>614</v>
      </c>
      <c r="K40" s="138" t="s">
        <v>615</v>
      </c>
      <c r="L40" s="138" t="s">
        <v>613</v>
      </c>
      <c r="M40" s="138" t="s">
        <v>611</v>
      </c>
      <c r="N40" s="138" t="s">
        <v>616</v>
      </c>
      <c r="O40" s="634" t="s">
        <v>617</v>
      </c>
    </row>
    <row r="41" spans="1:17">
      <c r="A41" s="237" t="s">
        <v>71</v>
      </c>
      <c r="B41" s="237"/>
      <c r="C41" s="148" t="s">
        <v>47</v>
      </c>
      <c r="D41" s="280" t="s">
        <v>48</v>
      </c>
      <c r="E41" s="280" t="s">
        <v>22</v>
      </c>
      <c r="F41" s="281">
        <v>1.08</v>
      </c>
      <c r="G41" s="631">
        <v>7.7000000000000011</v>
      </c>
      <c r="H41" s="12"/>
      <c r="I41" s="11">
        <v>0.8</v>
      </c>
      <c r="J41" s="282"/>
      <c r="K41" s="282"/>
      <c r="L41" s="274"/>
      <c r="M41" s="274"/>
      <c r="N41" s="274"/>
      <c r="O41" s="2"/>
      <c r="P41" s="283" t="s">
        <v>45</v>
      </c>
      <c r="Q41" s="248">
        <v>45717</v>
      </c>
    </row>
    <row r="42" spans="1:17">
      <c r="A42" s="237" t="s">
        <v>71</v>
      </c>
      <c r="B42" s="237"/>
      <c r="C42" s="148" t="s">
        <v>49</v>
      </c>
      <c r="D42" s="280" t="s">
        <v>50</v>
      </c>
      <c r="E42" s="280" t="s">
        <v>24</v>
      </c>
      <c r="F42" s="281">
        <v>1.08</v>
      </c>
      <c r="G42" s="631">
        <v>9.9</v>
      </c>
      <c r="H42" s="12"/>
      <c r="I42" s="11">
        <v>0.8</v>
      </c>
      <c r="J42" s="282"/>
      <c r="K42" s="282"/>
      <c r="L42" s="274"/>
      <c r="M42" s="274"/>
      <c r="N42" s="274"/>
      <c r="O42" s="2"/>
      <c r="P42" s="283" t="s">
        <v>45</v>
      </c>
      <c r="Q42" s="248">
        <f>Q41</f>
        <v>45717</v>
      </c>
    </row>
    <row r="43" spans="1:17">
      <c r="A43" s="237" t="s">
        <v>71</v>
      </c>
      <c r="B43" s="237"/>
      <c r="C43" s="148" t="s">
        <v>51</v>
      </c>
      <c r="D43" s="280" t="s">
        <v>52</v>
      </c>
      <c r="E43" s="280" t="s">
        <v>26</v>
      </c>
      <c r="F43" s="281">
        <v>1.08</v>
      </c>
      <c r="G43" s="631">
        <v>15.400000000000002</v>
      </c>
      <c r="H43" s="12"/>
      <c r="I43" s="11">
        <v>0.8</v>
      </c>
      <c r="J43" s="92">
        <f>18+3*13.02</f>
        <v>57.06</v>
      </c>
      <c r="K43" s="92">
        <f>12.72+2*13.02</f>
        <v>38.76</v>
      </c>
      <c r="L43" s="92"/>
      <c r="M43" s="92">
        <v>1</v>
      </c>
      <c r="N43" s="92">
        <v>7.2881249999999991</v>
      </c>
      <c r="O43" s="3">
        <f>((F43*(G43-G43*H43)+I43*((J43+K43)-(J43+K43)*L43)/2+M43*N43)*1.015)*1.05</f>
        <v>66.340939218749995</v>
      </c>
      <c r="P43" s="283" t="s">
        <v>45</v>
      </c>
      <c r="Q43" s="248">
        <f t="shared" ref="Q43:Q52" si="6">Q42</f>
        <v>45717</v>
      </c>
    </row>
    <row r="44" spans="1:17">
      <c r="A44" s="237" t="s">
        <v>71</v>
      </c>
      <c r="B44" s="237"/>
      <c r="C44" s="148" t="s">
        <v>53</v>
      </c>
      <c r="D44" s="280" t="s">
        <v>54</v>
      </c>
      <c r="E44" s="280" t="s">
        <v>28</v>
      </c>
      <c r="F44" s="281">
        <v>1.08</v>
      </c>
      <c r="G44" s="631">
        <v>17.600000000000001</v>
      </c>
      <c r="H44" s="12"/>
      <c r="I44" s="11">
        <v>0.8</v>
      </c>
      <c r="J44" s="92">
        <f>20.76+3*13.56</f>
        <v>61.44</v>
      </c>
      <c r="K44" s="92">
        <f>13.02+2*13.56</f>
        <v>40.14</v>
      </c>
      <c r="L44" s="92"/>
      <c r="M44" s="92">
        <v>1</v>
      </c>
      <c r="N44" s="92">
        <v>9.0148499999999991</v>
      </c>
      <c r="O44" s="3">
        <f>((F44*(G44-G44*H44)+I44*((J44+K44)-(J44+K44)*L44)/2+M44*N44)*1.015)*1.05</f>
        <v>73.168906387500002</v>
      </c>
      <c r="P44" s="283" t="s">
        <v>45</v>
      </c>
      <c r="Q44" s="248">
        <f t="shared" si="6"/>
        <v>45717</v>
      </c>
    </row>
    <row r="45" spans="1:17">
      <c r="A45" s="237" t="s">
        <v>71</v>
      </c>
      <c r="B45" s="237"/>
      <c r="C45" s="148" t="s">
        <v>55</v>
      </c>
      <c r="D45" s="280" t="s">
        <v>56</v>
      </c>
      <c r="E45" s="280" t="s">
        <v>30</v>
      </c>
      <c r="F45" s="281">
        <v>1.08</v>
      </c>
      <c r="G45" s="631"/>
      <c r="H45" s="12"/>
      <c r="I45" s="11">
        <v>0.8</v>
      </c>
      <c r="J45" s="92"/>
      <c r="K45" s="92"/>
      <c r="L45" s="92"/>
      <c r="M45" s="92"/>
      <c r="N45" s="92"/>
      <c r="O45" s="2">
        <v>75</v>
      </c>
      <c r="P45" s="283" t="s">
        <v>45</v>
      </c>
      <c r="Q45" s="248">
        <f t="shared" si="6"/>
        <v>45717</v>
      </c>
    </row>
    <row r="46" spans="1:17">
      <c r="A46" s="237" t="s">
        <v>71</v>
      </c>
      <c r="B46" s="237"/>
      <c r="C46" s="148" t="s">
        <v>57</v>
      </c>
      <c r="D46" s="280" t="s">
        <v>1017</v>
      </c>
      <c r="E46" s="280" t="s">
        <v>32</v>
      </c>
      <c r="F46" s="281">
        <v>1.08</v>
      </c>
      <c r="G46" s="631">
        <v>24.200000000000003</v>
      </c>
      <c r="H46" s="12"/>
      <c r="I46" s="11">
        <v>0.6</v>
      </c>
      <c r="J46" s="92">
        <f>27.84+3*16.44</f>
        <v>77.160000000000011</v>
      </c>
      <c r="K46" s="92">
        <f>16.08+2*16.44</f>
        <v>48.96</v>
      </c>
      <c r="L46" s="92"/>
      <c r="M46" s="92">
        <v>1</v>
      </c>
      <c r="N46" s="92">
        <v>14.912625000000002</v>
      </c>
      <c r="O46" s="3">
        <f t="shared" ref="O46:O52" si="7">((F46*(G46-G46*H46)+I46*((J46+K46)-(J46+K46)*L46)/2+M46*N46)*1.015)*1.05</f>
        <v>84.071289093750011</v>
      </c>
      <c r="P46" s="283" t="s">
        <v>45</v>
      </c>
      <c r="Q46" s="248">
        <f t="shared" si="6"/>
        <v>45717</v>
      </c>
    </row>
    <row r="47" spans="1:17">
      <c r="A47" s="237" t="s">
        <v>71</v>
      </c>
      <c r="B47" s="237"/>
      <c r="C47" s="148" t="s">
        <v>59</v>
      </c>
      <c r="D47" s="280" t="s">
        <v>1018</v>
      </c>
      <c r="E47" s="280" t="s">
        <v>34</v>
      </c>
      <c r="F47" s="281">
        <v>1.08</v>
      </c>
      <c r="G47" s="631">
        <v>38.5</v>
      </c>
      <c r="H47" s="12"/>
      <c r="I47" s="11">
        <v>0.6</v>
      </c>
      <c r="J47" s="92">
        <f>38.28+3*92.4</f>
        <v>315.48</v>
      </c>
      <c r="K47" s="92">
        <f>22.02+2*92.4</f>
        <v>206.82000000000002</v>
      </c>
      <c r="L47" s="92"/>
      <c r="M47" s="92">
        <v>1</v>
      </c>
      <c r="N47" s="92">
        <v>17.312100000000001</v>
      </c>
      <c r="O47" s="3">
        <f t="shared" si="7"/>
        <v>229.75662307500002</v>
      </c>
      <c r="P47" s="283" t="s">
        <v>45</v>
      </c>
      <c r="Q47" s="248">
        <f t="shared" si="6"/>
        <v>45717</v>
      </c>
    </row>
    <row r="48" spans="1:17">
      <c r="A48" s="237" t="s">
        <v>71</v>
      </c>
      <c r="B48" s="237"/>
      <c r="C48" s="148" t="s">
        <v>60</v>
      </c>
      <c r="D48" s="280" t="s">
        <v>61</v>
      </c>
      <c r="E48" s="280" t="s">
        <v>36</v>
      </c>
      <c r="F48" s="281">
        <v>1.06</v>
      </c>
      <c r="G48" s="631">
        <v>41.800000000000004</v>
      </c>
      <c r="H48" s="12"/>
      <c r="I48" s="11">
        <v>0.6</v>
      </c>
      <c r="J48" s="92">
        <f>53.7+3*99</f>
        <v>350.7</v>
      </c>
      <c r="K48" s="92">
        <f>30.66+2*99</f>
        <v>228.66</v>
      </c>
      <c r="L48" s="92"/>
      <c r="M48" s="92">
        <v>1</v>
      </c>
      <c r="N48" s="92">
        <v>20.317050000000002</v>
      </c>
      <c r="O48" s="3">
        <f t="shared" si="7"/>
        <v>254.11002303749996</v>
      </c>
      <c r="P48" s="283" t="s">
        <v>45</v>
      </c>
      <c r="Q48" s="248">
        <f t="shared" si="6"/>
        <v>45717</v>
      </c>
    </row>
    <row r="49" spans="1:17">
      <c r="A49" s="237" t="s">
        <v>71</v>
      </c>
      <c r="B49" s="237"/>
      <c r="C49" s="148" t="s">
        <v>62</v>
      </c>
      <c r="D49" s="280" t="s">
        <v>926</v>
      </c>
      <c r="E49" s="280" t="s">
        <v>38</v>
      </c>
      <c r="F49" s="281">
        <v>1.06</v>
      </c>
      <c r="G49" s="631">
        <v>55.000000000000007</v>
      </c>
      <c r="H49" s="12"/>
      <c r="I49" s="11">
        <v>0.5</v>
      </c>
      <c r="J49" s="92">
        <f>85.8+3*139.62</f>
        <v>504.66</v>
      </c>
      <c r="K49" s="92">
        <f>45+2*139.62</f>
        <v>324.24</v>
      </c>
      <c r="L49" s="92"/>
      <c r="M49" s="92">
        <v>1</v>
      </c>
      <c r="N49" s="92">
        <v>26.797874999999998</v>
      </c>
      <c r="O49" s="3">
        <f t="shared" si="7"/>
        <v>311.54310403124998</v>
      </c>
      <c r="P49" s="283" t="s">
        <v>45</v>
      </c>
      <c r="Q49" s="248">
        <f t="shared" si="6"/>
        <v>45717</v>
      </c>
    </row>
    <row r="50" spans="1:17">
      <c r="A50" s="237" t="s">
        <v>71</v>
      </c>
      <c r="B50" s="237"/>
      <c r="C50" s="148" t="s">
        <v>63</v>
      </c>
      <c r="D50" s="280" t="s">
        <v>64</v>
      </c>
      <c r="E50" s="280" t="s">
        <v>65</v>
      </c>
      <c r="F50" s="281"/>
      <c r="G50" s="631"/>
      <c r="H50" s="12"/>
      <c r="I50" s="11"/>
      <c r="J50" s="92"/>
      <c r="K50" s="92"/>
      <c r="L50" s="92"/>
      <c r="M50" s="92"/>
      <c r="N50" s="92"/>
      <c r="O50" s="2">
        <v>400</v>
      </c>
      <c r="P50" s="283" t="s">
        <v>45</v>
      </c>
      <c r="Q50" s="248">
        <f t="shared" si="6"/>
        <v>45717</v>
      </c>
    </row>
    <row r="51" spans="1:17">
      <c r="A51" s="237" t="s">
        <v>71</v>
      </c>
      <c r="B51" s="237"/>
      <c r="C51" s="148" t="s">
        <v>1022</v>
      </c>
      <c r="D51" s="280" t="s">
        <v>85</v>
      </c>
      <c r="E51" s="280"/>
      <c r="F51" s="281">
        <v>1.06</v>
      </c>
      <c r="G51" s="631">
        <v>105.60000000000001</v>
      </c>
      <c r="H51" s="12"/>
      <c r="I51" s="11">
        <v>0.5</v>
      </c>
      <c r="J51" s="92">
        <f>208.68+3*179.82</f>
        <v>748.1400000000001</v>
      </c>
      <c r="K51" s="92">
        <f>125.22+2*179.82</f>
        <v>484.86</v>
      </c>
      <c r="L51" s="92"/>
      <c r="M51" s="92">
        <v>1</v>
      </c>
      <c r="N51" s="92">
        <v>49.87</v>
      </c>
      <c r="O51" s="3">
        <f t="shared" si="7"/>
        <v>500.96218199999998</v>
      </c>
      <c r="P51" s="283" t="s">
        <v>45</v>
      </c>
      <c r="Q51" s="248">
        <f t="shared" si="6"/>
        <v>45717</v>
      </c>
    </row>
    <row r="52" spans="1:17">
      <c r="A52" s="237" t="s">
        <v>71</v>
      </c>
      <c r="B52" s="237"/>
      <c r="C52" s="148" t="s">
        <v>72</v>
      </c>
      <c r="D52" s="280" t="s">
        <v>73</v>
      </c>
      <c r="E52" s="280"/>
      <c r="F52" s="284">
        <v>1.06</v>
      </c>
      <c r="G52" s="638">
        <f>245*1.2</f>
        <v>294</v>
      </c>
      <c r="I52" s="11">
        <v>0.5</v>
      </c>
      <c r="J52" s="11">
        <f>(476.06+3*90)*1.1</f>
        <v>820.66600000000005</v>
      </c>
      <c r="K52" s="11">
        <f>(367.2+2*90)*1.1</f>
        <v>601.92000000000007</v>
      </c>
      <c r="L52" s="11"/>
      <c r="M52" s="92">
        <v>1</v>
      </c>
      <c r="N52" s="11">
        <v>72</v>
      </c>
      <c r="O52" s="3">
        <f t="shared" si="7"/>
        <v>787.89458737500013</v>
      </c>
      <c r="P52" s="283" t="s">
        <v>45</v>
      </c>
      <c r="Q52" s="248">
        <f t="shared" si="6"/>
        <v>45717</v>
      </c>
    </row>
    <row r="53" spans="1:17">
      <c r="A53" s="40"/>
      <c r="B53" s="40"/>
    </row>
    <row r="54" spans="1:17">
      <c r="A54" s="40"/>
      <c r="B54" s="40"/>
    </row>
    <row r="55" spans="1:17" ht="15.75" thickBot="1">
      <c r="A55" s="40"/>
      <c r="B55" s="40"/>
      <c r="D55" s="28" t="s">
        <v>1023</v>
      </c>
      <c r="E55" s="276">
        <v>45736</v>
      </c>
      <c r="F55" s="28"/>
      <c r="G55" s="28" t="s">
        <v>1024</v>
      </c>
      <c r="J55" s="138"/>
      <c r="K55" s="138"/>
      <c r="L55" s="138"/>
      <c r="M55" s="138"/>
      <c r="N55" t="s">
        <v>1026</v>
      </c>
      <c r="O55" s="632"/>
    </row>
    <row r="56" spans="1:17">
      <c r="A56" s="40"/>
      <c r="B56" s="40"/>
      <c r="D56" s="240"/>
      <c r="E56" s="241"/>
      <c r="F56" s="241"/>
      <c r="G56" s="241"/>
      <c r="H56" s="241"/>
      <c r="I56" s="241"/>
      <c r="J56" s="264"/>
      <c r="K56" s="264"/>
      <c r="L56" s="264"/>
      <c r="M56" s="264"/>
      <c r="N56" s="264"/>
      <c r="O56" s="633"/>
    </row>
    <row r="57" spans="1:17">
      <c r="A57" s="40"/>
      <c r="B57" s="40"/>
      <c r="D57" s="277"/>
      <c r="J57" s="138"/>
      <c r="K57" s="138"/>
      <c r="L57" s="138"/>
      <c r="M57" s="138"/>
      <c r="N57" s="138"/>
      <c r="O57" s="634"/>
    </row>
    <row r="58" spans="1:17">
      <c r="A58" s="40"/>
      <c r="B58" s="40"/>
      <c r="D58" s="273"/>
      <c r="J58" s="138"/>
      <c r="K58" s="138"/>
      <c r="L58" s="138"/>
      <c r="M58" s="138"/>
      <c r="N58" s="278"/>
      <c r="O58" s="634"/>
    </row>
    <row r="59" spans="1:17">
      <c r="A59" s="237"/>
      <c r="B59" s="237" t="s">
        <v>1026</v>
      </c>
      <c r="C59" s="148" t="s">
        <v>1014</v>
      </c>
      <c r="D59" s="148" t="s">
        <v>951</v>
      </c>
      <c r="E59" s="148" t="s">
        <v>1015</v>
      </c>
      <c r="F59" t="s">
        <v>611</v>
      </c>
      <c r="G59" t="s">
        <v>919</v>
      </c>
      <c r="H59" t="s">
        <v>613</v>
      </c>
      <c r="I59" t="s">
        <v>611</v>
      </c>
      <c r="J59" s="138" t="s">
        <v>614</v>
      </c>
      <c r="K59" s="138" t="s">
        <v>615</v>
      </c>
      <c r="L59" s="138" t="s">
        <v>613</v>
      </c>
      <c r="M59" s="138" t="s">
        <v>611</v>
      </c>
      <c r="N59" s="138" t="s">
        <v>616</v>
      </c>
      <c r="O59" s="634" t="s">
        <v>617</v>
      </c>
    </row>
    <row r="60" spans="1:17">
      <c r="A60" s="237" t="s">
        <v>71</v>
      </c>
      <c r="B60" s="237" t="s">
        <v>75</v>
      </c>
      <c r="C60" s="148" t="s">
        <v>47</v>
      </c>
      <c r="D60" s="280" t="s">
        <v>48</v>
      </c>
      <c r="E60" s="280" t="s">
        <v>22</v>
      </c>
      <c r="F60" s="11">
        <v>1.08</v>
      </c>
      <c r="G60" s="631">
        <v>20.900000000000002</v>
      </c>
      <c r="H60" s="12"/>
      <c r="I60" s="11">
        <v>0.8</v>
      </c>
      <c r="J60" s="92"/>
      <c r="K60" s="92"/>
      <c r="L60" s="92"/>
      <c r="M60" s="92"/>
      <c r="N60" s="92"/>
      <c r="O60" s="1"/>
      <c r="P60" s="228" t="str">
        <f>P41</f>
        <v>Tasta</v>
      </c>
      <c r="Q60" s="248">
        <f>Q41</f>
        <v>45717</v>
      </c>
    </row>
    <row r="61" spans="1:17">
      <c r="A61" s="237" t="s">
        <v>71</v>
      </c>
      <c r="B61" s="237" t="s">
        <v>75</v>
      </c>
      <c r="C61" s="148" t="s">
        <v>49</v>
      </c>
      <c r="D61" s="280" t="s">
        <v>50</v>
      </c>
      <c r="E61" s="280" t="s">
        <v>24</v>
      </c>
      <c r="F61" s="11">
        <v>1.08</v>
      </c>
      <c r="G61" s="631">
        <v>26.400000000000002</v>
      </c>
      <c r="H61" s="12"/>
      <c r="I61" s="11">
        <v>0.8</v>
      </c>
      <c r="J61" s="92"/>
      <c r="K61" s="92"/>
      <c r="L61" s="92"/>
      <c r="M61" s="92"/>
      <c r="N61" s="92"/>
      <c r="O61" s="1"/>
      <c r="P61" s="228" t="str">
        <f t="shared" ref="P61:Q70" si="8">P42</f>
        <v>Tasta</v>
      </c>
      <c r="Q61" s="248">
        <f t="shared" si="8"/>
        <v>45717</v>
      </c>
    </row>
    <row r="62" spans="1:17">
      <c r="A62" s="237" t="s">
        <v>71</v>
      </c>
      <c r="B62" s="237" t="s">
        <v>75</v>
      </c>
      <c r="C62" s="148" t="s">
        <v>51</v>
      </c>
      <c r="D62" s="280" t="s">
        <v>52</v>
      </c>
      <c r="E62" s="280" t="s">
        <v>26</v>
      </c>
      <c r="F62" s="11">
        <v>1.08</v>
      </c>
      <c r="G62" s="631">
        <v>34.1</v>
      </c>
      <c r="H62" s="12"/>
      <c r="I62" s="11">
        <v>0.8</v>
      </c>
      <c r="J62" s="92">
        <f>18+3*13.02</f>
        <v>57.06</v>
      </c>
      <c r="K62" s="92">
        <f>12.72+2*13.02</f>
        <v>38.76</v>
      </c>
      <c r="L62" s="92"/>
      <c r="M62" s="92">
        <v>1</v>
      </c>
      <c r="N62" s="92">
        <v>7.2881249999999991</v>
      </c>
      <c r="O62" s="1">
        <f>((F62*(G62-G62*H62)+I62*((J62+K62)-(J62+K62)*L62)/2+M62*N62)*1.015)*1.05</f>
        <v>87.864826218749997</v>
      </c>
      <c r="P62" s="228" t="str">
        <f t="shared" si="8"/>
        <v>Tasta</v>
      </c>
      <c r="Q62" s="248">
        <f t="shared" si="8"/>
        <v>45717</v>
      </c>
    </row>
    <row r="63" spans="1:17">
      <c r="A63" s="237" t="s">
        <v>71</v>
      </c>
      <c r="B63" s="237" t="s">
        <v>75</v>
      </c>
      <c r="C63" s="148" t="s">
        <v>53</v>
      </c>
      <c r="D63" s="280" t="s">
        <v>54</v>
      </c>
      <c r="E63" s="280" t="s">
        <v>28</v>
      </c>
      <c r="F63" s="11">
        <v>1.08</v>
      </c>
      <c r="G63" s="631">
        <v>42.900000000000006</v>
      </c>
      <c r="H63" s="12"/>
      <c r="I63" s="11">
        <v>0.8</v>
      </c>
      <c r="J63" s="92">
        <f>20.76+3*13.56</f>
        <v>61.44</v>
      </c>
      <c r="K63" s="92">
        <f>13.02+2*13.56</f>
        <v>40.14</v>
      </c>
      <c r="L63" s="92"/>
      <c r="M63" s="92">
        <v>1</v>
      </c>
      <c r="N63" s="92">
        <v>9.0148499999999991</v>
      </c>
      <c r="O63" s="1">
        <f t="shared" ref="O63:O70" si="9">((F63*(G63-G63*H63)+I63*((J63+K63)-(J63+K63)*L63)/2+M63*N63)*1.015)*1.05</f>
        <v>102.2894593875</v>
      </c>
      <c r="P63" s="228" t="str">
        <f t="shared" si="8"/>
        <v>Tasta</v>
      </c>
      <c r="Q63" s="248">
        <f t="shared" si="8"/>
        <v>45717</v>
      </c>
    </row>
    <row r="64" spans="1:17">
      <c r="A64" s="237" t="s">
        <v>71</v>
      </c>
      <c r="B64" s="237" t="s">
        <v>75</v>
      </c>
      <c r="C64" s="148" t="s">
        <v>55</v>
      </c>
      <c r="D64" s="280" t="s">
        <v>56</v>
      </c>
      <c r="E64" s="280" t="s">
        <v>30</v>
      </c>
      <c r="F64" s="11"/>
      <c r="G64" s="631"/>
      <c r="H64" s="12"/>
      <c r="I64" s="11"/>
      <c r="J64" s="92"/>
      <c r="K64" s="92"/>
      <c r="L64" s="92"/>
      <c r="M64" s="92"/>
      <c r="N64" s="92"/>
      <c r="O64" s="4">
        <v>100</v>
      </c>
      <c r="P64" s="228" t="str">
        <f t="shared" si="8"/>
        <v>Tasta</v>
      </c>
      <c r="Q64" s="248">
        <f t="shared" si="8"/>
        <v>45717</v>
      </c>
    </row>
    <row r="65" spans="1:17">
      <c r="A65" s="237" t="s">
        <v>71</v>
      </c>
      <c r="B65" s="237" t="s">
        <v>75</v>
      </c>
      <c r="C65" s="148" t="s">
        <v>57</v>
      </c>
      <c r="D65" s="280" t="s">
        <v>1017</v>
      </c>
      <c r="E65" s="280" t="s">
        <v>32</v>
      </c>
      <c r="F65" s="11">
        <v>1.08</v>
      </c>
      <c r="G65" s="631">
        <v>51.7</v>
      </c>
      <c r="H65" s="12"/>
      <c r="I65" s="11">
        <v>0.6</v>
      </c>
      <c r="J65" s="92">
        <f>27.84+3*16.44</f>
        <v>77.160000000000011</v>
      </c>
      <c r="K65" s="92">
        <f>16.08+2*16.44</f>
        <v>48.96</v>
      </c>
      <c r="L65" s="92"/>
      <c r="M65" s="92">
        <v>1</v>
      </c>
      <c r="N65" s="92">
        <v>14.912625000000002</v>
      </c>
      <c r="O65" s="1">
        <f t="shared" si="9"/>
        <v>115.72406409375</v>
      </c>
      <c r="P65" s="228" t="str">
        <f t="shared" si="8"/>
        <v>Tasta</v>
      </c>
      <c r="Q65" s="248">
        <f t="shared" si="8"/>
        <v>45717</v>
      </c>
    </row>
    <row r="66" spans="1:17">
      <c r="A66" s="237" t="s">
        <v>71</v>
      </c>
      <c r="B66" s="237" t="s">
        <v>75</v>
      </c>
      <c r="C66" s="148" t="s">
        <v>59</v>
      </c>
      <c r="D66" s="280" t="s">
        <v>1018</v>
      </c>
      <c r="E66" s="280" t="s">
        <v>34</v>
      </c>
      <c r="F66" s="11">
        <v>1.08</v>
      </c>
      <c r="G66" s="631">
        <v>63.800000000000004</v>
      </c>
      <c r="H66" s="12"/>
      <c r="I66" s="11">
        <v>0.6</v>
      </c>
      <c r="J66" s="92">
        <f>38.28+3*92.4</f>
        <v>315.48</v>
      </c>
      <c r="K66" s="92">
        <f>22.02+2*92.4</f>
        <v>206.82000000000002</v>
      </c>
      <c r="L66" s="92"/>
      <c r="M66" s="92">
        <v>1</v>
      </c>
      <c r="N66" s="92">
        <v>17.312100000000001</v>
      </c>
      <c r="O66" s="1">
        <f t="shared" si="9"/>
        <v>258.87717607500002</v>
      </c>
      <c r="P66" s="228" t="str">
        <f t="shared" si="8"/>
        <v>Tasta</v>
      </c>
      <c r="Q66" s="248">
        <f t="shared" si="8"/>
        <v>45717</v>
      </c>
    </row>
    <row r="67" spans="1:17">
      <c r="A67" s="237" t="s">
        <v>71</v>
      </c>
      <c r="B67" s="237" t="s">
        <v>75</v>
      </c>
      <c r="C67" s="148" t="s">
        <v>60</v>
      </c>
      <c r="D67" s="280" t="s">
        <v>61</v>
      </c>
      <c r="E67" s="280" t="s">
        <v>36</v>
      </c>
      <c r="F67" s="11">
        <v>1.06</v>
      </c>
      <c r="G67" s="631">
        <v>75.900000000000006</v>
      </c>
      <c r="H67" s="12"/>
      <c r="I67" s="11">
        <v>0.6</v>
      </c>
      <c r="J67" s="92">
        <f>53.7+3*99</f>
        <v>350.7</v>
      </c>
      <c r="K67" s="92">
        <f>30.66+2*99</f>
        <v>228.66</v>
      </c>
      <c r="L67" s="92"/>
      <c r="M67" s="92">
        <v>1</v>
      </c>
      <c r="N67" s="92">
        <v>20.317050000000002</v>
      </c>
      <c r="O67" s="1">
        <f t="shared" si="9"/>
        <v>292.63262253750003</v>
      </c>
      <c r="P67" s="228" t="str">
        <f t="shared" si="8"/>
        <v>Tasta</v>
      </c>
      <c r="Q67" s="248">
        <f t="shared" si="8"/>
        <v>45717</v>
      </c>
    </row>
    <row r="68" spans="1:17">
      <c r="A68" s="237" t="s">
        <v>71</v>
      </c>
      <c r="B68" s="237" t="s">
        <v>75</v>
      </c>
      <c r="C68" s="148" t="s">
        <v>62</v>
      </c>
      <c r="D68" s="280" t="s">
        <v>926</v>
      </c>
      <c r="E68" s="280" t="s">
        <v>38</v>
      </c>
      <c r="F68" s="11">
        <v>1.06</v>
      </c>
      <c r="G68" s="631">
        <v>108.9</v>
      </c>
      <c r="H68" s="12"/>
      <c r="I68" s="11">
        <v>0.5</v>
      </c>
      <c r="J68" s="92">
        <f>85.8+3*139.62</f>
        <v>504.66</v>
      </c>
      <c r="K68" s="92">
        <f>45+2*139.62</f>
        <v>324.24</v>
      </c>
      <c r="L68" s="92"/>
      <c r="M68" s="92">
        <v>1</v>
      </c>
      <c r="N68" s="92">
        <v>26.797874999999998</v>
      </c>
      <c r="O68" s="1">
        <f t="shared" si="9"/>
        <v>372.43366453125003</v>
      </c>
      <c r="P68" s="228" t="str">
        <f t="shared" si="8"/>
        <v>Tasta</v>
      </c>
      <c r="Q68" s="248">
        <f t="shared" si="8"/>
        <v>45717</v>
      </c>
    </row>
    <row r="69" spans="1:17">
      <c r="A69" s="237" t="s">
        <v>71</v>
      </c>
      <c r="B69" s="237" t="s">
        <v>75</v>
      </c>
      <c r="C69" s="148" t="s">
        <v>63</v>
      </c>
      <c r="D69" s="280" t="s">
        <v>64</v>
      </c>
      <c r="E69" s="280" t="s">
        <v>65</v>
      </c>
      <c r="F69" s="11"/>
      <c r="G69" s="631"/>
      <c r="H69" s="12"/>
      <c r="I69" s="11"/>
      <c r="J69" s="92"/>
      <c r="K69" s="92"/>
      <c r="L69" s="92"/>
      <c r="M69" s="92"/>
      <c r="N69" s="92"/>
      <c r="O69" s="4">
        <v>550</v>
      </c>
      <c r="P69" s="228" t="str">
        <f t="shared" si="8"/>
        <v>Tasta</v>
      </c>
      <c r="Q69" s="248">
        <f t="shared" si="8"/>
        <v>45717</v>
      </c>
    </row>
    <row r="70" spans="1:17">
      <c r="A70" s="237" t="s">
        <v>71</v>
      </c>
      <c r="B70" s="237" t="s">
        <v>75</v>
      </c>
      <c r="C70" s="148" t="s">
        <v>1022</v>
      </c>
      <c r="D70" s="280" t="s">
        <v>85</v>
      </c>
      <c r="E70" s="280">
        <v>6</v>
      </c>
      <c r="F70" s="11">
        <v>1.06</v>
      </c>
      <c r="G70" s="631">
        <v>206.8</v>
      </c>
      <c r="H70" s="12"/>
      <c r="I70" s="11">
        <v>0.5</v>
      </c>
      <c r="J70" s="92">
        <f>208.68+3*179.82</f>
        <v>748.1400000000001</v>
      </c>
      <c r="K70" s="92">
        <f>125.22+2*179.82</f>
        <v>484.86</v>
      </c>
      <c r="L70" s="92"/>
      <c r="M70" s="92">
        <v>1</v>
      </c>
      <c r="N70" s="92">
        <v>49.87</v>
      </c>
      <c r="O70" s="1">
        <f t="shared" si="9"/>
        <v>615.28731600000003</v>
      </c>
      <c r="P70" s="228" t="str">
        <f t="shared" si="8"/>
        <v>Tasta</v>
      </c>
      <c r="Q70" s="248">
        <f t="shared" si="8"/>
        <v>45717</v>
      </c>
    </row>
    <row r="71" spans="1:17">
      <c r="A71" s="40"/>
      <c r="B71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13B79-1A2E-4D7C-BC3A-264823A4EF54}">
  <dimension ref="B2:P77"/>
  <sheetViews>
    <sheetView workbookViewId="0">
      <selection activeCell="K27" sqref="K27"/>
    </sheetView>
  </sheetViews>
  <sheetFormatPr defaultRowHeight="15"/>
  <cols>
    <col min="2" max="2" width="14.7109375" customWidth="1"/>
    <col min="5" max="5" width="9.85546875" bestFit="1" customWidth="1"/>
    <col min="6" max="7" width="8.85546875" customWidth="1"/>
    <col min="8" max="9" width="14.140625" customWidth="1"/>
    <col min="10" max="12" width="8.85546875" customWidth="1"/>
    <col min="13" max="13" width="11.140625" customWidth="1"/>
    <col min="15" max="15" width="25.42578125" customWidth="1"/>
    <col min="16" max="16" width="9.28515625" customWidth="1"/>
    <col min="258" max="258" width="14.7109375" customWidth="1"/>
    <col min="261" max="261" width="9.85546875" bestFit="1" customWidth="1"/>
    <col min="262" max="263" width="8.85546875" customWidth="1"/>
    <col min="264" max="265" width="14.140625" customWidth="1"/>
    <col min="266" max="268" width="8.85546875" customWidth="1"/>
    <col min="269" max="269" width="11.140625" customWidth="1"/>
    <col min="271" max="271" width="25.42578125" customWidth="1"/>
    <col min="272" max="272" width="9.28515625" customWidth="1"/>
    <col min="514" max="514" width="14.7109375" customWidth="1"/>
    <col min="517" max="517" width="9.85546875" bestFit="1" customWidth="1"/>
    <col min="518" max="519" width="8.85546875" customWidth="1"/>
    <col min="520" max="521" width="14.140625" customWidth="1"/>
    <col min="522" max="524" width="8.85546875" customWidth="1"/>
    <col min="525" max="525" width="11.140625" customWidth="1"/>
    <col min="527" max="527" width="25.42578125" customWidth="1"/>
    <col min="528" max="528" width="9.28515625" customWidth="1"/>
    <col min="770" max="770" width="14.7109375" customWidth="1"/>
    <col min="773" max="773" width="9.85546875" bestFit="1" customWidth="1"/>
    <col min="774" max="775" width="8.85546875" customWidth="1"/>
    <col min="776" max="777" width="14.140625" customWidth="1"/>
    <col min="778" max="780" width="8.85546875" customWidth="1"/>
    <col min="781" max="781" width="11.140625" customWidth="1"/>
    <col min="783" max="783" width="25.42578125" customWidth="1"/>
    <col min="784" max="784" width="9.28515625" customWidth="1"/>
    <col min="1026" max="1026" width="14.7109375" customWidth="1"/>
    <col min="1029" max="1029" width="9.85546875" bestFit="1" customWidth="1"/>
    <col min="1030" max="1031" width="8.85546875" customWidth="1"/>
    <col min="1032" max="1033" width="14.140625" customWidth="1"/>
    <col min="1034" max="1036" width="8.85546875" customWidth="1"/>
    <col min="1037" max="1037" width="11.140625" customWidth="1"/>
    <col min="1039" max="1039" width="25.42578125" customWidth="1"/>
    <col min="1040" max="1040" width="9.28515625" customWidth="1"/>
    <col min="1282" max="1282" width="14.7109375" customWidth="1"/>
    <col min="1285" max="1285" width="9.85546875" bestFit="1" customWidth="1"/>
    <col min="1286" max="1287" width="8.85546875" customWidth="1"/>
    <col min="1288" max="1289" width="14.140625" customWidth="1"/>
    <col min="1290" max="1292" width="8.85546875" customWidth="1"/>
    <col min="1293" max="1293" width="11.140625" customWidth="1"/>
    <col min="1295" max="1295" width="25.42578125" customWidth="1"/>
    <col min="1296" max="1296" width="9.28515625" customWidth="1"/>
    <col min="1538" max="1538" width="14.7109375" customWidth="1"/>
    <col min="1541" max="1541" width="9.85546875" bestFit="1" customWidth="1"/>
    <col min="1542" max="1543" width="8.85546875" customWidth="1"/>
    <col min="1544" max="1545" width="14.140625" customWidth="1"/>
    <col min="1546" max="1548" width="8.85546875" customWidth="1"/>
    <col min="1549" max="1549" width="11.140625" customWidth="1"/>
    <col min="1551" max="1551" width="25.42578125" customWidth="1"/>
    <col min="1552" max="1552" width="9.28515625" customWidth="1"/>
    <col min="1794" max="1794" width="14.7109375" customWidth="1"/>
    <col min="1797" max="1797" width="9.85546875" bestFit="1" customWidth="1"/>
    <col min="1798" max="1799" width="8.85546875" customWidth="1"/>
    <col min="1800" max="1801" width="14.140625" customWidth="1"/>
    <col min="1802" max="1804" width="8.85546875" customWidth="1"/>
    <col min="1805" max="1805" width="11.140625" customWidth="1"/>
    <col min="1807" max="1807" width="25.42578125" customWidth="1"/>
    <col min="1808" max="1808" width="9.28515625" customWidth="1"/>
    <col min="2050" max="2050" width="14.7109375" customWidth="1"/>
    <col min="2053" max="2053" width="9.85546875" bestFit="1" customWidth="1"/>
    <col min="2054" max="2055" width="8.85546875" customWidth="1"/>
    <col min="2056" max="2057" width="14.140625" customWidth="1"/>
    <col min="2058" max="2060" width="8.85546875" customWidth="1"/>
    <col min="2061" max="2061" width="11.140625" customWidth="1"/>
    <col min="2063" max="2063" width="25.42578125" customWidth="1"/>
    <col min="2064" max="2064" width="9.28515625" customWidth="1"/>
    <col min="2306" max="2306" width="14.7109375" customWidth="1"/>
    <col min="2309" max="2309" width="9.85546875" bestFit="1" customWidth="1"/>
    <col min="2310" max="2311" width="8.85546875" customWidth="1"/>
    <col min="2312" max="2313" width="14.140625" customWidth="1"/>
    <col min="2314" max="2316" width="8.85546875" customWidth="1"/>
    <col min="2317" max="2317" width="11.140625" customWidth="1"/>
    <col min="2319" max="2319" width="25.42578125" customWidth="1"/>
    <col min="2320" max="2320" width="9.28515625" customWidth="1"/>
    <col min="2562" max="2562" width="14.7109375" customWidth="1"/>
    <col min="2565" max="2565" width="9.85546875" bestFit="1" customWidth="1"/>
    <col min="2566" max="2567" width="8.85546875" customWidth="1"/>
    <col min="2568" max="2569" width="14.140625" customWidth="1"/>
    <col min="2570" max="2572" width="8.85546875" customWidth="1"/>
    <col min="2573" max="2573" width="11.140625" customWidth="1"/>
    <col min="2575" max="2575" width="25.42578125" customWidth="1"/>
    <col min="2576" max="2576" width="9.28515625" customWidth="1"/>
    <col min="2818" max="2818" width="14.7109375" customWidth="1"/>
    <col min="2821" max="2821" width="9.85546875" bestFit="1" customWidth="1"/>
    <col min="2822" max="2823" width="8.85546875" customWidth="1"/>
    <col min="2824" max="2825" width="14.140625" customWidth="1"/>
    <col min="2826" max="2828" width="8.85546875" customWidth="1"/>
    <col min="2829" max="2829" width="11.140625" customWidth="1"/>
    <col min="2831" max="2831" width="25.42578125" customWidth="1"/>
    <col min="2832" max="2832" width="9.28515625" customWidth="1"/>
    <col min="3074" max="3074" width="14.7109375" customWidth="1"/>
    <col min="3077" max="3077" width="9.85546875" bestFit="1" customWidth="1"/>
    <col min="3078" max="3079" width="8.85546875" customWidth="1"/>
    <col min="3080" max="3081" width="14.140625" customWidth="1"/>
    <col min="3082" max="3084" width="8.85546875" customWidth="1"/>
    <col min="3085" max="3085" width="11.140625" customWidth="1"/>
    <col min="3087" max="3087" width="25.42578125" customWidth="1"/>
    <col min="3088" max="3088" width="9.28515625" customWidth="1"/>
    <col min="3330" max="3330" width="14.7109375" customWidth="1"/>
    <col min="3333" max="3333" width="9.85546875" bestFit="1" customWidth="1"/>
    <col min="3334" max="3335" width="8.85546875" customWidth="1"/>
    <col min="3336" max="3337" width="14.140625" customWidth="1"/>
    <col min="3338" max="3340" width="8.85546875" customWidth="1"/>
    <col min="3341" max="3341" width="11.140625" customWidth="1"/>
    <col min="3343" max="3343" width="25.42578125" customWidth="1"/>
    <col min="3344" max="3344" width="9.28515625" customWidth="1"/>
    <col min="3586" max="3586" width="14.7109375" customWidth="1"/>
    <col min="3589" max="3589" width="9.85546875" bestFit="1" customWidth="1"/>
    <col min="3590" max="3591" width="8.85546875" customWidth="1"/>
    <col min="3592" max="3593" width="14.140625" customWidth="1"/>
    <col min="3594" max="3596" width="8.85546875" customWidth="1"/>
    <col min="3597" max="3597" width="11.140625" customWidth="1"/>
    <col min="3599" max="3599" width="25.42578125" customWidth="1"/>
    <col min="3600" max="3600" width="9.28515625" customWidth="1"/>
    <col min="3842" max="3842" width="14.7109375" customWidth="1"/>
    <col min="3845" max="3845" width="9.85546875" bestFit="1" customWidth="1"/>
    <col min="3846" max="3847" width="8.85546875" customWidth="1"/>
    <col min="3848" max="3849" width="14.140625" customWidth="1"/>
    <col min="3850" max="3852" width="8.85546875" customWidth="1"/>
    <col min="3853" max="3853" width="11.140625" customWidth="1"/>
    <col min="3855" max="3855" width="25.42578125" customWidth="1"/>
    <col min="3856" max="3856" width="9.28515625" customWidth="1"/>
    <col min="4098" max="4098" width="14.7109375" customWidth="1"/>
    <col min="4101" max="4101" width="9.85546875" bestFit="1" customWidth="1"/>
    <col min="4102" max="4103" width="8.85546875" customWidth="1"/>
    <col min="4104" max="4105" width="14.140625" customWidth="1"/>
    <col min="4106" max="4108" width="8.85546875" customWidth="1"/>
    <col min="4109" max="4109" width="11.140625" customWidth="1"/>
    <col min="4111" max="4111" width="25.42578125" customWidth="1"/>
    <col min="4112" max="4112" width="9.28515625" customWidth="1"/>
    <col min="4354" max="4354" width="14.7109375" customWidth="1"/>
    <col min="4357" max="4357" width="9.85546875" bestFit="1" customWidth="1"/>
    <col min="4358" max="4359" width="8.85546875" customWidth="1"/>
    <col min="4360" max="4361" width="14.140625" customWidth="1"/>
    <col min="4362" max="4364" width="8.85546875" customWidth="1"/>
    <col min="4365" max="4365" width="11.140625" customWidth="1"/>
    <col min="4367" max="4367" width="25.42578125" customWidth="1"/>
    <col min="4368" max="4368" width="9.28515625" customWidth="1"/>
    <col min="4610" max="4610" width="14.7109375" customWidth="1"/>
    <col min="4613" max="4613" width="9.85546875" bestFit="1" customWidth="1"/>
    <col min="4614" max="4615" width="8.85546875" customWidth="1"/>
    <col min="4616" max="4617" width="14.140625" customWidth="1"/>
    <col min="4618" max="4620" width="8.85546875" customWidth="1"/>
    <col min="4621" max="4621" width="11.140625" customWidth="1"/>
    <col min="4623" max="4623" width="25.42578125" customWidth="1"/>
    <col min="4624" max="4624" width="9.28515625" customWidth="1"/>
    <col min="4866" max="4866" width="14.7109375" customWidth="1"/>
    <col min="4869" max="4869" width="9.85546875" bestFit="1" customWidth="1"/>
    <col min="4870" max="4871" width="8.85546875" customWidth="1"/>
    <col min="4872" max="4873" width="14.140625" customWidth="1"/>
    <col min="4874" max="4876" width="8.85546875" customWidth="1"/>
    <col min="4877" max="4877" width="11.140625" customWidth="1"/>
    <col min="4879" max="4879" width="25.42578125" customWidth="1"/>
    <col min="4880" max="4880" width="9.28515625" customWidth="1"/>
    <col min="5122" max="5122" width="14.7109375" customWidth="1"/>
    <col min="5125" max="5125" width="9.85546875" bestFit="1" customWidth="1"/>
    <col min="5126" max="5127" width="8.85546875" customWidth="1"/>
    <col min="5128" max="5129" width="14.140625" customWidth="1"/>
    <col min="5130" max="5132" width="8.85546875" customWidth="1"/>
    <col min="5133" max="5133" width="11.140625" customWidth="1"/>
    <col min="5135" max="5135" width="25.42578125" customWidth="1"/>
    <col min="5136" max="5136" width="9.28515625" customWidth="1"/>
    <col min="5378" max="5378" width="14.7109375" customWidth="1"/>
    <col min="5381" max="5381" width="9.85546875" bestFit="1" customWidth="1"/>
    <col min="5382" max="5383" width="8.85546875" customWidth="1"/>
    <col min="5384" max="5385" width="14.140625" customWidth="1"/>
    <col min="5386" max="5388" width="8.85546875" customWidth="1"/>
    <col min="5389" max="5389" width="11.140625" customWidth="1"/>
    <col min="5391" max="5391" width="25.42578125" customWidth="1"/>
    <col min="5392" max="5392" width="9.28515625" customWidth="1"/>
    <col min="5634" max="5634" width="14.7109375" customWidth="1"/>
    <col min="5637" max="5637" width="9.85546875" bestFit="1" customWidth="1"/>
    <col min="5638" max="5639" width="8.85546875" customWidth="1"/>
    <col min="5640" max="5641" width="14.140625" customWidth="1"/>
    <col min="5642" max="5644" width="8.85546875" customWidth="1"/>
    <col min="5645" max="5645" width="11.140625" customWidth="1"/>
    <col min="5647" max="5647" width="25.42578125" customWidth="1"/>
    <col min="5648" max="5648" width="9.28515625" customWidth="1"/>
    <col min="5890" max="5890" width="14.7109375" customWidth="1"/>
    <col min="5893" max="5893" width="9.85546875" bestFit="1" customWidth="1"/>
    <col min="5894" max="5895" width="8.85546875" customWidth="1"/>
    <col min="5896" max="5897" width="14.140625" customWidth="1"/>
    <col min="5898" max="5900" width="8.85546875" customWidth="1"/>
    <col min="5901" max="5901" width="11.140625" customWidth="1"/>
    <col min="5903" max="5903" width="25.42578125" customWidth="1"/>
    <col min="5904" max="5904" width="9.28515625" customWidth="1"/>
    <col min="6146" max="6146" width="14.7109375" customWidth="1"/>
    <col min="6149" max="6149" width="9.85546875" bestFit="1" customWidth="1"/>
    <col min="6150" max="6151" width="8.85546875" customWidth="1"/>
    <col min="6152" max="6153" width="14.140625" customWidth="1"/>
    <col min="6154" max="6156" width="8.85546875" customWidth="1"/>
    <col min="6157" max="6157" width="11.140625" customWidth="1"/>
    <col min="6159" max="6159" width="25.42578125" customWidth="1"/>
    <col min="6160" max="6160" width="9.28515625" customWidth="1"/>
    <col min="6402" max="6402" width="14.7109375" customWidth="1"/>
    <col min="6405" max="6405" width="9.85546875" bestFit="1" customWidth="1"/>
    <col min="6406" max="6407" width="8.85546875" customWidth="1"/>
    <col min="6408" max="6409" width="14.140625" customWidth="1"/>
    <col min="6410" max="6412" width="8.85546875" customWidth="1"/>
    <col min="6413" max="6413" width="11.140625" customWidth="1"/>
    <col min="6415" max="6415" width="25.42578125" customWidth="1"/>
    <col min="6416" max="6416" width="9.28515625" customWidth="1"/>
    <col min="6658" max="6658" width="14.7109375" customWidth="1"/>
    <col min="6661" max="6661" width="9.85546875" bestFit="1" customWidth="1"/>
    <col min="6662" max="6663" width="8.85546875" customWidth="1"/>
    <col min="6664" max="6665" width="14.140625" customWidth="1"/>
    <col min="6666" max="6668" width="8.85546875" customWidth="1"/>
    <col min="6669" max="6669" width="11.140625" customWidth="1"/>
    <col min="6671" max="6671" width="25.42578125" customWidth="1"/>
    <col min="6672" max="6672" width="9.28515625" customWidth="1"/>
    <col min="6914" max="6914" width="14.7109375" customWidth="1"/>
    <col min="6917" max="6917" width="9.85546875" bestFit="1" customWidth="1"/>
    <col min="6918" max="6919" width="8.85546875" customWidth="1"/>
    <col min="6920" max="6921" width="14.140625" customWidth="1"/>
    <col min="6922" max="6924" width="8.85546875" customWidth="1"/>
    <col min="6925" max="6925" width="11.140625" customWidth="1"/>
    <col min="6927" max="6927" width="25.42578125" customWidth="1"/>
    <col min="6928" max="6928" width="9.28515625" customWidth="1"/>
    <col min="7170" max="7170" width="14.7109375" customWidth="1"/>
    <col min="7173" max="7173" width="9.85546875" bestFit="1" customWidth="1"/>
    <col min="7174" max="7175" width="8.85546875" customWidth="1"/>
    <col min="7176" max="7177" width="14.140625" customWidth="1"/>
    <col min="7178" max="7180" width="8.85546875" customWidth="1"/>
    <col min="7181" max="7181" width="11.140625" customWidth="1"/>
    <col min="7183" max="7183" width="25.42578125" customWidth="1"/>
    <col min="7184" max="7184" width="9.28515625" customWidth="1"/>
    <col min="7426" max="7426" width="14.7109375" customWidth="1"/>
    <col min="7429" max="7429" width="9.85546875" bestFit="1" customWidth="1"/>
    <col min="7430" max="7431" width="8.85546875" customWidth="1"/>
    <col min="7432" max="7433" width="14.140625" customWidth="1"/>
    <col min="7434" max="7436" width="8.85546875" customWidth="1"/>
    <col min="7437" max="7437" width="11.140625" customWidth="1"/>
    <col min="7439" max="7439" width="25.42578125" customWidth="1"/>
    <col min="7440" max="7440" width="9.28515625" customWidth="1"/>
    <col min="7682" max="7682" width="14.7109375" customWidth="1"/>
    <col min="7685" max="7685" width="9.85546875" bestFit="1" customWidth="1"/>
    <col min="7686" max="7687" width="8.85546875" customWidth="1"/>
    <col min="7688" max="7689" width="14.140625" customWidth="1"/>
    <col min="7690" max="7692" width="8.85546875" customWidth="1"/>
    <col min="7693" max="7693" width="11.140625" customWidth="1"/>
    <col min="7695" max="7695" width="25.42578125" customWidth="1"/>
    <col min="7696" max="7696" width="9.28515625" customWidth="1"/>
    <col min="7938" max="7938" width="14.7109375" customWidth="1"/>
    <col min="7941" max="7941" width="9.85546875" bestFit="1" customWidth="1"/>
    <col min="7942" max="7943" width="8.85546875" customWidth="1"/>
    <col min="7944" max="7945" width="14.140625" customWidth="1"/>
    <col min="7946" max="7948" width="8.85546875" customWidth="1"/>
    <col min="7949" max="7949" width="11.140625" customWidth="1"/>
    <col min="7951" max="7951" width="25.42578125" customWidth="1"/>
    <col min="7952" max="7952" width="9.28515625" customWidth="1"/>
    <col min="8194" max="8194" width="14.7109375" customWidth="1"/>
    <col min="8197" max="8197" width="9.85546875" bestFit="1" customWidth="1"/>
    <col min="8198" max="8199" width="8.85546875" customWidth="1"/>
    <col min="8200" max="8201" width="14.140625" customWidth="1"/>
    <col min="8202" max="8204" width="8.85546875" customWidth="1"/>
    <col min="8205" max="8205" width="11.140625" customWidth="1"/>
    <col min="8207" max="8207" width="25.42578125" customWidth="1"/>
    <col min="8208" max="8208" width="9.28515625" customWidth="1"/>
    <col min="8450" max="8450" width="14.7109375" customWidth="1"/>
    <col min="8453" max="8453" width="9.85546875" bestFit="1" customWidth="1"/>
    <col min="8454" max="8455" width="8.85546875" customWidth="1"/>
    <col min="8456" max="8457" width="14.140625" customWidth="1"/>
    <col min="8458" max="8460" width="8.85546875" customWidth="1"/>
    <col min="8461" max="8461" width="11.140625" customWidth="1"/>
    <col min="8463" max="8463" width="25.42578125" customWidth="1"/>
    <col min="8464" max="8464" width="9.28515625" customWidth="1"/>
    <col min="8706" max="8706" width="14.7109375" customWidth="1"/>
    <col min="8709" max="8709" width="9.85546875" bestFit="1" customWidth="1"/>
    <col min="8710" max="8711" width="8.85546875" customWidth="1"/>
    <col min="8712" max="8713" width="14.140625" customWidth="1"/>
    <col min="8714" max="8716" width="8.85546875" customWidth="1"/>
    <col min="8717" max="8717" width="11.140625" customWidth="1"/>
    <col min="8719" max="8719" width="25.42578125" customWidth="1"/>
    <col min="8720" max="8720" width="9.28515625" customWidth="1"/>
    <col min="8962" max="8962" width="14.7109375" customWidth="1"/>
    <col min="8965" max="8965" width="9.85546875" bestFit="1" customWidth="1"/>
    <col min="8966" max="8967" width="8.85546875" customWidth="1"/>
    <col min="8968" max="8969" width="14.140625" customWidth="1"/>
    <col min="8970" max="8972" width="8.85546875" customWidth="1"/>
    <col min="8973" max="8973" width="11.140625" customWidth="1"/>
    <col min="8975" max="8975" width="25.42578125" customWidth="1"/>
    <col min="8976" max="8976" width="9.28515625" customWidth="1"/>
    <col min="9218" max="9218" width="14.7109375" customWidth="1"/>
    <col min="9221" max="9221" width="9.85546875" bestFit="1" customWidth="1"/>
    <col min="9222" max="9223" width="8.85546875" customWidth="1"/>
    <col min="9224" max="9225" width="14.140625" customWidth="1"/>
    <col min="9226" max="9228" width="8.85546875" customWidth="1"/>
    <col min="9229" max="9229" width="11.140625" customWidth="1"/>
    <col min="9231" max="9231" width="25.42578125" customWidth="1"/>
    <col min="9232" max="9232" width="9.28515625" customWidth="1"/>
    <col min="9474" max="9474" width="14.7109375" customWidth="1"/>
    <col min="9477" max="9477" width="9.85546875" bestFit="1" customWidth="1"/>
    <col min="9478" max="9479" width="8.85546875" customWidth="1"/>
    <col min="9480" max="9481" width="14.140625" customWidth="1"/>
    <col min="9482" max="9484" width="8.85546875" customWidth="1"/>
    <col min="9485" max="9485" width="11.140625" customWidth="1"/>
    <col min="9487" max="9487" width="25.42578125" customWidth="1"/>
    <col min="9488" max="9488" width="9.28515625" customWidth="1"/>
    <col min="9730" max="9730" width="14.7109375" customWidth="1"/>
    <col min="9733" max="9733" width="9.85546875" bestFit="1" customWidth="1"/>
    <col min="9734" max="9735" width="8.85546875" customWidth="1"/>
    <col min="9736" max="9737" width="14.140625" customWidth="1"/>
    <col min="9738" max="9740" width="8.85546875" customWidth="1"/>
    <col min="9741" max="9741" width="11.140625" customWidth="1"/>
    <col min="9743" max="9743" width="25.42578125" customWidth="1"/>
    <col min="9744" max="9744" width="9.28515625" customWidth="1"/>
    <col min="9986" max="9986" width="14.7109375" customWidth="1"/>
    <col min="9989" max="9989" width="9.85546875" bestFit="1" customWidth="1"/>
    <col min="9990" max="9991" width="8.85546875" customWidth="1"/>
    <col min="9992" max="9993" width="14.140625" customWidth="1"/>
    <col min="9994" max="9996" width="8.85546875" customWidth="1"/>
    <col min="9997" max="9997" width="11.140625" customWidth="1"/>
    <col min="9999" max="9999" width="25.42578125" customWidth="1"/>
    <col min="10000" max="10000" width="9.28515625" customWidth="1"/>
    <col min="10242" max="10242" width="14.7109375" customWidth="1"/>
    <col min="10245" max="10245" width="9.85546875" bestFit="1" customWidth="1"/>
    <col min="10246" max="10247" width="8.85546875" customWidth="1"/>
    <col min="10248" max="10249" width="14.140625" customWidth="1"/>
    <col min="10250" max="10252" width="8.85546875" customWidth="1"/>
    <col min="10253" max="10253" width="11.140625" customWidth="1"/>
    <col min="10255" max="10255" width="25.42578125" customWidth="1"/>
    <col min="10256" max="10256" width="9.28515625" customWidth="1"/>
    <col min="10498" max="10498" width="14.7109375" customWidth="1"/>
    <col min="10501" max="10501" width="9.85546875" bestFit="1" customWidth="1"/>
    <col min="10502" max="10503" width="8.85546875" customWidth="1"/>
    <col min="10504" max="10505" width="14.140625" customWidth="1"/>
    <col min="10506" max="10508" width="8.85546875" customWidth="1"/>
    <col min="10509" max="10509" width="11.140625" customWidth="1"/>
    <col min="10511" max="10511" width="25.42578125" customWidth="1"/>
    <col min="10512" max="10512" width="9.28515625" customWidth="1"/>
    <col min="10754" max="10754" width="14.7109375" customWidth="1"/>
    <col min="10757" max="10757" width="9.85546875" bestFit="1" customWidth="1"/>
    <col min="10758" max="10759" width="8.85546875" customWidth="1"/>
    <col min="10760" max="10761" width="14.140625" customWidth="1"/>
    <col min="10762" max="10764" width="8.85546875" customWidth="1"/>
    <col min="10765" max="10765" width="11.140625" customWidth="1"/>
    <col min="10767" max="10767" width="25.42578125" customWidth="1"/>
    <col min="10768" max="10768" width="9.28515625" customWidth="1"/>
    <col min="11010" max="11010" width="14.7109375" customWidth="1"/>
    <col min="11013" max="11013" width="9.85546875" bestFit="1" customWidth="1"/>
    <col min="11014" max="11015" width="8.85546875" customWidth="1"/>
    <col min="11016" max="11017" width="14.140625" customWidth="1"/>
    <col min="11018" max="11020" width="8.85546875" customWidth="1"/>
    <col min="11021" max="11021" width="11.140625" customWidth="1"/>
    <col min="11023" max="11023" width="25.42578125" customWidth="1"/>
    <col min="11024" max="11024" width="9.28515625" customWidth="1"/>
    <col min="11266" max="11266" width="14.7109375" customWidth="1"/>
    <col min="11269" max="11269" width="9.85546875" bestFit="1" customWidth="1"/>
    <col min="11270" max="11271" width="8.85546875" customWidth="1"/>
    <col min="11272" max="11273" width="14.140625" customWidth="1"/>
    <col min="11274" max="11276" width="8.85546875" customWidth="1"/>
    <col min="11277" max="11277" width="11.140625" customWidth="1"/>
    <col min="11279" max="11279" width="25.42578125" customWidth="1"/>
    <col min="11280" max="11280" width="9.28515625" customWidth="1"/>
    <col min="11522" max="11522" width="14.7109375" customWidth="1"/>
    <col min="11525" max="11525" width="9.85546875" bestFit="1" customWidth="1"/>
    <col min="11526" max="11527" width="8.85546875" customWidth="1"/>
    <col min="11528" max="11529" width="14.140625" customWidth="1"/>
    <col min="11530" max="11532" width="8.85546875" customWidth="1"/>
    <col min="11533" max="11533" width="11.140625" customWidth="1"/>
    <col min="11535" max="11535" width="25.42578125" customWidth="1"/>
    <col min="11536" max="11536" width="9.28515625" customWidth="1"/>
    <col min="11778" max="11778" width="14.7109375" customWidth="1"/>
    <col min="11781" max="11781" width="9.85546875" bestFit="1" customWidth="1"/>
    <col min="11782" max="11783" width="8.85546875" customWidth="1"/>
    <col min="11784" max="11785" width="14.140625" customWidth="1"/>
    <col min="11786" max="11788" width="8.85546875" customWidth="1"/>
    <col min="11789" max="11789" width="11.140625" customWidth="1"/>
    <col min="11791" max="11791" width="25.42578125" customWidth="1"/>
    <col min="11792" max="11792" width="9.28515625" customWidth="1"/>
    <col min="12034" max="12034" width="14.7109375" customWidth="1"/>
    <col min="12037" max="12037" width="9.85546875" bestFit="1" customWidth="1"/>
    <col min="12038" max="12039" width="8.85546875" customWidth="1"/>
    <col min="12040" max="12041" width="14.140625" customWidth="1"/>
    <col min="12042" max="12044" width="8.85546875" customWidth="1"/>
    <col min="12045" max="12045" width="11.140625" customWidth="1"/>
    <col min="12047" max="12047" width="25.42578125" customWidth="1"/>
    <col min="12048" max="12048" width="9.28515625" customWidth="1"/>
    <col min="12290" max="12290" width="14.7109375" customWidth="1"/>
    <col min="12293" max="12293" width="9.85546875" bestFit="1" customWidth="1"/>
    <col min="12294" max="12295" width="8.85546875" customWidth="1"/>
    <col min="12296" max="12297" width="14.140625" customWidth="1"/>
    <col min="12298" max="12300" width="8.85546875" customWidth="1"/>
    <col min="12301" max="12301" width="11.140625" customWidth="1"/>
    <col min="12303" max="12303" width="25.42578125" customWidth="1"/>
    <col min="12304" max="12304" width="9.28515625" customWidth="1"/>
    <col min="12546" max="12546" width="14.7109375" customWidth="1"/>
    <col min="12549" max="12549" width="9.85546875" bestFit="1" customWidth="1"/>
    <col min="12550" max="12551" width="8.85546875" customWidth="1"/>
    <col min="12552" max="12553" width="14.140625" customWidth="1"/>
    <col min="12554" max="12556" width="8.85546875" customWidth="1"/>
    <col min="12557" max="12557" width="11.140625" customWidth="1"/>
    <col min="12559" max="12559" width="25.42578125" customWidth="1"/>
    <col min="12560" max="12560" width="9.28515625" customWidth="1"/>
    <col min="12802" max="12802" width="14.7109375" customWidth="1"/>
    <col min="12805" max="12805" width="9.85546875" bestFit="1" customWidth="1"/>
    <col min="12806" max="12807" width="8.85546875" customWidth="1"/>
    <col min="12808" max="12809" width="14.140625" customWidth="1"/>
    <col min="12810" max="12812" width="8.85546875" customWidth="1"/>
    <col min="12813" max="12813" width="11.140625" customWidth="1"/>
    <col min="12815" max="12815" width="25.42578125" customWidth="1"/>
    <col min="12816" max="12816" width="9.28515625" customWidth="1"/>
    <col min="13058" max="13058" width="14.7109375" customWidth="1"/>
    <col min="13061" max="13061" width="9.85546875" bestFit="1" customWidth="1"/>
    <col min="13062" max="13063" width="8.85546875" customWidth="1"/>
    <col min="13064" max="13065" width="14.140625" customWidth="1"/>
    <col min="13066" max="13068" width="8.85546875" customWidth="1"/>
    <col min="13069" max="13069" width="11.140625" customWidth="1"/>
    <col min="13071" max="13071" width="25.42578125" customWidth="1"/>
    <col min="13072" max="13072" width="9.28515625" customWidth="1"/>
    <col min="13314" max="13314" width="14.7109375" customWidth="1"/>
    <col min="13317" max="13317" width="9.85546875" bestFit="1" customWidth="1"/>
    <col min="13318" max="13319" width="8.85546875" customWidth="1"/>
    <col min="13320" max="13321" width="14.140625" customWidth="1"/>
    <col min="13322" max="13324" width="8.85546875" customWidth="1"/>
    <col min="13325" max="13325" width="11.140625" customWidth="1"/>
    <col min="13327" max="13327" width="25.42578125" customWidth="1"/>
    <col min="13328" max="13328" width="9.28515625" customWidth="1"/>
    <col min="13570" max="13570" width="14.7109375" customWidth="1"/>
    <col min="13573" max="13573" width="9.85546875" bestFit="1" customWidth="1"/>
    <col min="13574" max="13575" width="8.85546875" customWidth="1"/>
    <col min="13576" max="13577" width="14.140625" customWidth="1"/>
    <col min="13578" max="13580" width="8.85546875" customWidth="1"/>
    <col min="13581" max="13581" width="11.140625" customWidth="1"/>
    <col min="13583" max="13583" width="25.42578125" customWidth="1"/>
    <col min="13584" max="13584" width="9.28515625" customWidth="1"/>
    <col min="13826" max="13826" width="14.7109375" customWidth="1"/>
    <col min="13829" max="13829" width="9.85546875" bestFit="1" customWidth="1"/>
    <col min="13830" max="13831" width="8.85546875" customWidth="1"/>
    <col min="13832" max="13833" width="14.140625" customWidth="1"/>
    <col min="13834" max="13836" width="8.85546875" customWidth="1"/>
    <col min="13837" max="13837" width="11.140625" customWidth="1"/>
    <col min="13839" max="13839" width="25.42578125" customWidth="1"/>
    <col min="13840" max="13840" width="9.28515625" customWidth="1"/>
    <col min="14082" max="14082" width="14.7109375" customWidth="1"/>
    <col min="14085" max="14085" width="9.85546875" bestFit="1" customWidth="1"/>
    <col min="14086" max="14087" width="8.85546875" customWidth="1"/>
    <col min="14088" max="14089" width="14.140625" customWidth="1"/>
    <col min="14090" max="14092" width="8.85546875" customWidth="1"/>
    <col min="14093" max="14093" width="11.140625" customWidth="1"/>
    <col min="14095" max="14095" width="25.42578125" customWidth="1"/>
    <col min="14096" max="14096" width="9.28515625" customWidth="1"/>
    <col min="14338" max="14338" width="14.7109375" customWidth="1"/>
    <col min="14341" max="14341" width="9.85546875" bestFit="1" customWidth="1"/>
    <col min="14342" max="14343" width="8.85546875" customWidth="1"/>
    <col min="14344" max="14345" width="14.140625" customWidth="1"/>
    <col min="14346" max="14348" width="8.85546875" customWidth="1"/>
    <col min="14349" max="14349" width="11.140625" customWidth="1"/>
    <col min="14351" max="14351" width="25.42578125" customWidth="1"/>
    <col min="14352" max="14352" width="9.28515625" customWidth="1"/>
    <col min="14594" max="14594" width="14.7109375" customWidth="1"/>
    <col min="14597" max="14597" width="9.85546875" bestFit="1" customWidth="1"/>
    <col min="14598" max="14599" width="8.85546875" customWidth="1"/>
    <col min="14600" max="14601" width="14.140625" customWidth="1"/>
    <col min="14602" max="14604" width="8.85546875" customWidth="1"/>
    <col min="14605" max="14605" width="11.140625" customWidth="1"/>
    <col min="14607" max="14607" width="25.42578125" customWidth="1"/>
    <col min="14608" max="14608" width="9.28515625" customWidth="1"/>
    <col min="14850" max="14850" width="14.7109375" customWidth="1"/>
    <col min="14853" max="14853" width="9.85546875" bestFit="1" customWidth="1"/>
    <col min="14854" max="14855" width="8.85546875" customWidth="1"/>
    <col min="14856" max="14857" width="14.140625" customWidth="1"/>
    <col min="14858" max="14860" width="8.85546875" customWidth="1"/>
    <col min="14861" max="14861" width="11.140625" customWidth="1"/>
    <col min="14863" max="14863" width="25.42578125" customWidth="1"/>
    <col min="14864" max="14864" width="9.28515625" customWidth="1"/>
    <col min="15106" max="15106" width="14.7109375" customWidth="1"/>
    <col min="15109" max="15109" width="9.85546875" bestFit="1" customWidth="1"/>
    <col min="15110" max="15111" width="8.85546875" customWidth="1"/>
    <col min="15112" max="15113" width="14.140625" customWidth="1"/>
    <col min="15114" max="15116" width="8.85546875" customWidth="1"/>
    <col min="15117" max="15117" width="11.140625" customWidth="1"/>
    <col min="15119" max="15119" width="25.42578125" customWidth="1"/>
    <col min="15120" max="15120" width="9.28515625" customWidth="1"/>
    <col min="15362" max="15362" width="14.7109375" customWidth="1"/>
    <col min="15365" max="15365" width="9.85546875" bestFit="1" customWidth="1"/>
    <col min="15366" max="15367" width="8.85546875" customWidth="1"/>
    <col min="15368" max="15369" width="14.140625" customWidth="1"/>
    <col min="15370" max="15372" width="8.85546875" customWidth="1"/>
    <col min="15373" max="15373" width="11.140625" customWidth="1"/>
    <col min="15375" max="15375" width="25.42578125" customWidth="1"/>
    <col min="15376" max="15376" width="9.28515625" customWidth="1"/>
    <col min="15618" max="15618" width="14.7109375" customWidth="1"/>
    <col min="15621" max="15621" width="9.85546875" bestFit="1" customWidth="1"/>
    <col min="15622" max="15623" width="8.85546875" customWidth="1"/>
    <col min="15624" max="15625" width="14.140625" customWidth="1"/>
    <col min="15626" max="15628" width="8.85546875" customWidth="1"/>
    <col min="15629" max="15629" width="11.140625" customWidth="1"/>
    <col min="15631" max="15631" width="25.42578125" customWidth="1"/>
    <col min="15632" max="15632" width="9.28515625" customWidth="1"/>
    <col min="15874" max="15874" width="14.7109375" customWidth="1"/>
    <col min="15877" max="15877" width="9.85546875" bestFit="1" customWidth="1"/>
    <col min="15878" max="15879" width="8.85546875" customWidth="1"/>
    <col min="15880" max="15881" width="14.140625" customWidth="1"/>
    <col min="15882" max="15884" width="8.85546875" customWidth="1"/>
    <col min="15885" max="15885" width="11.140625" customWidth="1"/>
    <col min="15887" max="15887" width="25.42578125" customWidth="1"/>
    <col min="15888" max="15888" width="9.28515625" customWidth="1"/>
    <col min="16130" max="16130" width="14.7109375" customWidth="1"/>
    <col min="16133" max="16133" width="9.85546875" bestFit="1" customWidth="1"/>
    <col min="16134" max="16135" width="8.85546875" customWidth="1"/>
    <col min="16136" max="16137" width="14.140625" customWidth="1"/>
    <col min="16138" max="16140" width="8.85546875" customWidth="1"/>
    <col min="16141" max="16141" width="11.140625" customWidth="1"/>
    <col min="16143" max="16143" width="25.42578125" customWidth="1"/>
    <col min="16144" max="16144" width="9.28515625" customWidth="1"/>
  </cols>
  <sheetData>
    <row r="2" spans="2:16">
      <c r="B2" s="584" t="s">
        <v>1394</v>
      </c>
    </row>
    <row r="4" spans="2:16">
      <c r="B4" s="28" t="s">
        <v>1395</v>
      </c>
      <c r="C4" s="28"/>
      <c r="D4" s="28"/>
      <c r="E4" s="28"/>
      <c r="M4" s="618"/>
    </row>
    <row r="5" spans="2:16">
      <c r="B5" s="273"/>
      <c r="M5" s="620"/>
      <c r="P5" s="502" t="s">
        <v>923</v>
      </c>
    </row>
    <row r="6" spans="2:16">
      <c r="B6" s="273" t="s">
        <v>769</v>
      </c>
      <c r="C6" t="s">
        <v>769</v>
      </c>
      <c r="D6" t="s">
        <v>611</v>
      </c>
      <c r="E6" t="s">
        <v>612</v>
      </c>
      <c r="F6" t="s">
        <v>613</v>
      </c>
      <c r="G6" t="s">
        <v>611</v>
      </c>
      <c r="H6" t="s">
        <v>614</v>
      </c>
      <c r="I6" t="s">
        <v>615</v>
      </c>
      <c r="J6" t="s">
        <v>613</v>
      </c>
      <c r="K6" t="s">
        <v>611</v>
      </c>
      <c r="L6" t="s">
        <v>616</v>
      </c>
      <c r="M6" s="620" t="s">
        <v>617</v>
      </c>
      <c r="O6" s="596" t="s">
        <v>1396</v>
      </c>
      <c r="P6" s="502"/>
    </row>
    <row r="7" spans="2:16">
      <c r="B7" s="226" t="s">
        <v>1397</v>
      </c>
      <c r="C7" s="227">
        <v>10</v>
      </c>
      <c r="D7" s="11">
        <v>1.08</v>
      </c>
      <c r="E7" s="623">
        <v>16.07</v>
      </c>
      <c r="F7" s="12">
        <v>0.54</v>
      </c>
      <c r="G7" s="11">
        <v>0.8</v>
      </c>
      <c r="H7" s="623">
        <v>30.05</v>
      </c>
      <c r="I7" s="623">
        <v>18.649999999999999</v>
      </c>
      <c r="J7" s="12">
        <v>0.54</v>
      </c>
      <c r="K7" s="11">
        <v>1</v>
      </c>
      <c r="L7" s="623">
        <v>2.9899999999999998</v>
      </c>
      <c r="M7" s="624">
        <f>(D7*(E7-E7*F7)+G7*((H7+I7)-(H7+I7)*J7)/2+K7*L7)*1.015</f>
        <v>20.233391639999994</v>
      </c>
      <c r="O7" s="502" t="s">
        <v>1398</v>
      </c>
      <c r="P7" s="639">
        <f>32.8*0.5</f>
        <v>16.399999999999999</v>
      </c>
    </row>
    <row r="8" spans="2:16">
      <c r="B8" s="226" t="s">
        <v>808</v>
      </c>
      <c r="C8" s="227">
        <v>15</v>
      </c>
      <c r="D8" s="11">
        <v>1.08</v>
      </c>
      <c r="E8" s="623">
        <v>19.03</v>
      </c>
      <c r="F8" s="12">
        <v>0.54</v>
      </c>
      <c r="G8" s="11">
        <v>0.8</v>
      </c>
      <c r="H8" s="623">
        <v>32.380000000000003</v>
      </c>
      <c r="I8" s="623">
        <v>19.760000000000002</v>
      </c>
      <c r="J8" s="12">
        <v>0.54</v>
      </c>
      <c r="K8" s="11">
        <v>1</v>
      </c>
      <c r="L8" s="623">
        <v>2.9899999999999998</v>
      </c>
      <c r="M8" s="624">
        <f>(D8*(E8-E8*F8)+G8*((H8+I8)-(H8+I8)*J8)/2+K8*L8)*1.015</f>
        <v>22.368431959999995</v>
      </c>
      <c r="O8" s="502" t="s">
        <v>1399</v>
      </c>
      <c r="P8" s="639">
        <f>35.1*0.5</f>
        <v>17.55</v>
      </c>
    </row>
    <row r="9" spans="2:16">
      <c r="B9" s="226" t="s">
        <v>809</v>
      </c>
      <c r="C9" s="227">
        <v>20</v>
      </c>
      <c r="D9" s="11">
        <v>1.08</v>
      </c>
      <c r="E9" s="623">
        <v>25.77</v>
      </c>
      <c r="F9" s="12">
        <v>0.54</v>
      </c>
      <c r="G9" s="11">
        <v>0.8</v>
      </c>
      <c r="H9" s="623">
        <v>34.799999999999997</v>
      </c>
      <c r="I9" s="623">
        <v>20.82</v>
      </c>
      <c r="J9" s="12">
        <v>0.54</v>
      </c>
      <c r="K9" s="11">
        <v>1</v>
      </c>
      <c r="L9" s="623">
        <v>3.5879999999999996</v>
      </c>
      <c r="M9" s="624">
        <f t="shared" ref="M9:M17" si="0">(D9*(E9-E9*F9)+G9*((H9+I9)-(H9+I9)*J9)/2+K9*L9)*1.015</f>
        <v>27.023985239999998</v>
      </c>
      <c r="O9" s="502" t="s">
        <v>1400</v>
      </c>
      <c r="P9" s="639">
        <f>40.45*0.5</f>
        <v>20.225000000000001</v>
      </c>
    </row>
    <row r="10" spans="2:16">
      <c r="B10" s="226" t="s">
        <v>265</v>
      </c>
      <c r="C10" s="227">
        <v>25</v>
      </c>
      <c r="D10" s="11">
        <v>1.08</v>
      </c>
      <c r="E10" s="623">
        <v>33.56</v>
      </c>
      <c r="F10" s="12">
        <v>0.54</v>
      </c>
      <c r="G10" s="11">
        <v>0.7</v>
      </c>
      <c r="H10" s="623">
        <v>46.59</v>
      </c>
      <c r="I10" s="623">
        <v>28.33</v>
      </c>
      <c r="J10" s="12">
        <v>0.54</v>
      </c>
      <c r="K10" s="11">
        <v>1</v>
      </c>
      <c r="L10" s="623">
        <v>4.8587500000000006</v>
      </c>
      <c r="M10" s="624">
        <f t="shared" si="0"/>
        <v>34.097380170000001</v>
      </c>
      <c r="O10" s="502" t="s">
        <v>1401</v>
      </c>
      <c r="P10" s="639">
        <f>51.49*0.5</f>
        <v>25.745000000000001</v>
      </c>
    </row>
    <row r="11" spans="2:16">
      <c r="B11" s="226" t="s">
        <v>1402</v>
      </c>
      <c r="C11" s="227">
        <v>32</v>
      </c>
      <c r="D11" s="11">
        <v>1.08</v>
      </c>
      <c r="E11" s="623">
        <v>47.7</v>
      </c>
      <c r="F11" s="12">
        <v>0.54</v>
      </c>
      <c r="G11" s="11">
        <v>0.7</v>
      </c>
      <c r="H11" s="623">
        <v>72.58</v>
      </c>
      <c r="I11" s="623">
        <v>55.69</v>
      </c>
      <c r="J11" s="12">
        <v>0.54</v>
      </c>
      <c r="K11" s="11">
        <v>1</v>
      </c>
      <c r="L11" s="623">
        <v>6.0098999999999991</v>
      </c>
      <c r="M11" s="624">
        <f t="shared" si="0"/>
        <v>51.11411094999999</v>
      </c>
      <c r="O11" s="502" t="s">
        <v>1403</v>
      </c>
      <c r="P11" s="639">
        <f>66.01*0.5</f>
        <v>33.005000000000003</v>
      </c>
    </row>
    <row r="12" spans="2:16">
      <c r="B12" s="226" t="s">
        <v>1404</v>
      </c>
      <c r="C12" s="227">
        <v>40</v>
      </c>
      <c r="D12" s="11">
        <v>1.08</v>
      </c>
      <c r="E12" s="623">
        <v>60.89</v>
      </c>
      <c r="F12" s="12">
        <v>0.54</v>
      </c>
      <c r="G12" s="11">
        <v>0.7</v>
      </c>
      <c r="H12" s="623">
        <v>107.22</v>
      </c>
      <c r="I12" s="623">
        <v>74.59</v>
      </c>
      <c r="J12" s="12">
        <v>0.54</v>
      </c>
      <c r="K12" s="11">
        <v>1</v>
      </c>
      <c r="L12" s="623">
        <v>7.2806499999999996</v>
      </c>
      <c r="M12" s="624">
        <f t="shared" si="0"/>
        <v>67.804245179999995</v>
      </c>
      <c r="O12" s="502" t="s">
        <v>1405</v>
      </c>
      <c r="P12" s="639">
        <f>73.68*0.5</f>
        <v>36.840000000000003</v>
      </c>
    </row>
    <row r="13" spans="2:16">
      <c r="B13" s="226" t="s">
        <v>1406</v>
      </c>
      <c r="C13" s="227">
        <v>50</v>
      </c>
      <c r="D13" s="11">
        <v>1.08</v>
      </c>
      <c r="E13" s="623">
        <v>79.45</v>
      </c>
      <c r="F13" s="12">
        <v>0.54</v>
      </c>
      <c r="G13" s="11">
        <v>0.5</v>
      </c>
      <c r="H13" s="623">
        <v>128.55000000000001</v>
      </c>
      <c r="I13" s="623">
        <v>99.34</v>
      </c>
      <c r="J13" s="12">
        <v>0.54</v>
      </c>
      <c r="K13" s="11">
        <v>1</v>
      </c>
      <c r="L13" s="623">
        <v>9.9417500000000008</v>
      </c>
      <c r="M13" s="624">
        <f t="shared" si="0"/>
        <v>76.754157899999996</v>
      </c>
      <c r="O13" s="502" t="s">
        <v>1407</v>
      </c>
      <c r="P13" s="639">
        <f>114.07*0.5</f>
        <v>57.034999999999997</v>
      </c>
    </row>
    <row r="14" spans="2:16">
      <c r="B14" s="226" t="s">
        <v>1408</v>
      </c>
      <c r="C14" s="227">
        <v>65</v>
      </c>
      <c r="D14" s="11">
        <v>1.08</v>
      </c>
      <c r="E14" s="623">
        <v>149.56</v>
      </c>
      <c r="F14" s="12">
        <v>0.54</v>
      </c>
      <c r="G14" s="11">
        <v>0.5</v>
      </c>
      <c r="H14" s="623">
        <v>591.21</v>
      </c>
      <c r="I14" s="623">
        <v>321.08999999999997</v>
      </c>
      <c r="J14" s="12">
        <v>0.54</v>
      </c>
      <c r="K14" s="11">
        <v>1</v>
      </c>
      <c r="L14" s="623">
        <v>11.541399999999999</v>
      </c>
      <c r="M14" s="624">
        <f t="shared" si="0"/>
        <v>193.61866762</v>
      </c>
      <c r="O14" s="502" t="s">
        <v>1409</v>
      </c>
      <c r="P14" s="639">
        <f>676.96*0.5</f>
        <v>338.48</v>
      </c>
    </row>
    <row r="15" spans="2:16">
      <c r="B15" s="226" t="s">
        <v>1410</v>
      </c>
      <c r="C15" s="227">
        <v>65</v>
      </c>
      <c r="D15" s="11">
        <v>1.08</v>
      </c>
      <c r="E15" s="623">
        <v>204.09</v>
      </c>
      <c r="F15" s="12">
        <v>0.54</v>
      </c>
      <c r="G15" s="11">
        <v>0.5</v>
      </c>
      <c r="H15" s="623">
        <v>757.52</v>
      </c>
      <c r="I15" s="623">
        <v>357.92</v>
      </c>
      <c r="J15" s="12">
        <v>0.54</v>
      </c>
      <c r="K15" s="11">
        <v>1</v>
      </c>
      <c r="L15" s="623">
        <v>11.541399999999999</v>
      </c>
      <c r="M15" s="624">
        <f t="shared" si="0"/>
        <v>244.82704567999997</v>
      </c>
      <c r="O15" s="502" t="s">
        <v>1411</v>
      </c>
      <c r="P15" s="639">
        <f>740.79*0.5</f>
        <v>370.39499999999998</v>
      </c>
    </row>
    <row r="16" spans="2:16">
      <c r="B16" s="226" t="s">
        <v>1412</v>
      </c>
      <c r="C16" s="227">
        <v>80</v>
      </c>
      <c r="D16" s="11">
        <v>1.06</v>
      </c>
      <c r="E16" s="623">
        <v>234.1</v>
      </c>
      <c r="F16" s="12">
        <v>0.54</v>
      </c>
      <c r="G16" s="11">
        <v>0.5</v>
      </c>
      <c r="H16" s="623">
        <v>875.44</v>
      </c>
      <c r="I16" s="623">
        <v>456.76</v>
      </c>
      <c r="J16" s="12">
        <v>0.54</v>
      </c>
      <c r="K16" s="11">
        <v>1</v>
      </c>
      <c r="L16" s="623">
        <v>13.544699999999999</v>
      </c>
      <c r="M16" s="624">
        <f t="shared" si="0"/>
        <v>285.10828289999995</v>
      </c>
      <c r="O16" s="502" t="s">
        <v>1413</v>
      </c>
      <c r="P16" s="639">
        <f>871.29*0.5</f>
        <v>435.64499999999998</v>
      </c>
    </row>
    <row r="17" spans="2:16">
      <c r="B17" s="226" t="s">
        <v>1414</v>
      </c>
      <c r="C17" s="227">
        <v>100</v>
      </c>
      <c r="D17" s="11">
        <v>1.06</v>
      </c>
      <c r="E17" s="623">
        <v>274.33999999999997</v>
      </c>
      <c r="F17" s="12">
        <v>0.54</v>
      </c>
      <c r="G17" s="11">
        <v>0.4</v>
      </c>
      <c r="H17" s="623">
        <v>1023.88</v>
      </c>
      <c r="I17" s="623">
        <v>656.23</v>
      </c>
      <c r="J17" s="12">
        <v>0.54</v>
      </c>
      <c r="K17" s="11">
        <v>1</v>
      </c>
      <c r="L17" s="623">
        <v>17.86525</v>
      </c>
      <c r="M17" s="624">
        <f t="shared" si="0"/>
        <v>310.79660730999996</v>
      </c>
      <c r="O17" s="502" t="s">
        <v>1415</v>
      </c>
      <c r="P17" s="639">
        <f>1034.3*0.5</f>
        <v>517.15</v>
      </c>
    </row>
    <row r="18" spans="2:16">
      <c r="B18" s="226"/>
      <c r="C18" s="227"/>
      <c r="D18" s="11"/>
      <c r="E18" s="11"/>
      <c r="F18" s="12"/>
      <c r="G18" s="11"/>
      <c r="H18" s="11"/>
      <c r="I18" s="11"/>
      <c r="J18" s="12"/>
      <c r="K18" s="11"/>
      <c r="L18" s="11"/>
      <c r="M18" s="624"/>
      <c r="O18" s="502"/>
      <c r="P18" s="502"/>
    </row>
    <row r="22" spans="2:16">
      <c r="B22" s="131" t="s">
        <v>1416</v>
      </c>
      <c r="C22" s="131"/>
      <c r="D22" s="131"/>
      <c r="E22" s="131"/>
      <c r="F22" s="169"/>
      <c r="G22" s="169"/>
      <c r="H22" s="169"/>
      <c r="M22" s="618"/>
    </row>
    <row r="23" spans="2:16" ht="15.75" thickBot="1"/>
    <row r="24" spans="2:16">
      <c r="B24" s="240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619"/>
    </row>
    <row r="25" spans="2:16">
      <c r="B25" s="277"/>
      <c r="M25" s="620"/>
    </row>
    <row r="26" spans="2:16">
      <c r="B26" s="273"/>
      <c r="M26" s="620"/>
    </row>
    <row r="27" spans="2:16">
      <c r="B27" s="273" t="s">
        <v>769</v>
      </c>
      <c r="C27" t="s">
        <v>769</v>
      </c>
      <c r="D27" t="s">
        <v>611</v>
      </c>
      <c r="E27" t="s">
        <v>612</v>
      </c>
      <c r="F27" t="s">
        <v>613</v>
      </c>
      <c r="G27" t="s">
        <v>611</v>
      </c>
      <c r="H27" t="s">
        <v>614</v>
      </c>
      <c r="I27" t="s">
        <v>615</v>
      </c>
      <c r="J27" t="s">
        <v>613</v>
      </c>
      <c r="K27" t="s">
        <v>611</v>
      </c>
      <c r="L27" t="s">
        <v>616</v>
      </c>
      <c r="M27" s="620" t="s">
        <v>617</v>
      </c>
    </row>
    <row r="28" spans="2:16">
      <c r="B28" s="226" t="s">
        <v>1397</v>
      </c>
      <c r="C28" s="227">
        <v>15</v>
      </c>
      <c r="D28" s="11">
        <v>1.08</v>
      </c>
      <c r="E28" s="92">
        <v>16.2</v>
      </c>
      <c r="F28" s="12">
        <v>0.35</v>
      </c>
      <c r="G28" s="11">
        <v>0.8</v>
      </c>
      <c r="H28" s="92">
        <v>30.55</v>
      </c>
      <c r="I28" s="92">
        <v>17.73</v>
      </c>
      <c r="J28" s="12">
        <v>0.35</v>
      </c>
      <c r="K28" s="11">
        <v>1</v>
      </c>
      <c r="L28" s="623">
        <v>2.9899999999999998</v>
      </c>
      <c r="M28" s="624">
        <f>(D28*(E28-E28*F28)+G28*((H28+I28)-(H28+I28)*J28)/2+K28*L28)*1.015</f>
        <v>27.318928</v>
      </c>
      <c r="O28" t="s">
        <v>942</v>
      </c>
    </row>
    <row r="29" spans="2:16">
      <c r="B29" s="226" t="s">
        <v>808</v>
      </c>
      <c r="C29" s="227">
        <v>18</v>
      </c>
      <c r="D29" s="11">
        <v>1.08</v>
      </c>
      <c r="E29" s="92">
        <v>19.37</v>
      </c>
      <c r="F29" s="12">
        <v>0.35</v>
      </c>
      <c r="G29" s="11">
        <v>0.8</v>
      </c>
      <c r="H29" s="92">
        <v>33.21</v>
      </c>
      <c r="I29" s="92">
        <v>20.399999999999999</v>
      </c>
      <c r="J29" s="12">
        <v>0.35</v>
      </c>
      <c r="K29" s="11">
        <v>1</v>
      </c>
      <c r="L29" s="623">
        <v>2.9899999999999998</v>
      </c>
      <c r="M29" s="624">
        <f>(D29*(E29-E29*F29)+G29*((H29+I29)-(H29+I29)*J29)/2+K29*L29)*1.015</f>
        <v>30.984235100000003</v>
      </c>
      <c r="O29" t="s">
        <v>942</v>
      </c>
    </row>
    <row r="30" spans="2:16">
      <c r="B30" s="226" t="s">
        <v>809</v>
      </c>
      <c r="C30" s="227">
        <v>22</v>
      </c>
      <c r="D30" s="11">
        <v>1.08</v>
      </c>
      <c r="E30" s="92">
        <v>25.63</v>
      </c>
      <c r="F30" s="12">
        <v>0.35</v>
      </c>
      <c r="G30" s="11">
        <v>0.8</v>
      </c>
      <c r="H30" s="92">
        <v>34.130000000000003</v>
      </c>
      <c r="I30" s="92">
        <v>22.24</v>
      </c>
      <c r="J30" s="12">
        <v>0.35</v>
      </c>
      <c r="K30" s="11">
        <v>1</v>
      </c>
      <c r="L30" s="623">
        <v>3.5879999999999996</v>
      </c>
      <c r="M30" s="624">
        <f t="shared" ref="M30:M38" si="1">(D30*(E30-E30*F30)+G30*((H30+I30)-(H30+I30)*J30)/2+K30*L30)*1.015</f>
        <v>36.780006899999997</v>
      </c>
      <c r="O30" t="s">
        <v>942</v>
      </c>
    </row>
    <row r="31" spans="2:16">
      <c r="B31" s="226" t="s">
        <v>265</v>
      </c>
      <c r="C31" s="227">
        <v>28</v>
      </c>
      <c r="D31" s="11">
        <v>1.08</v>
      </c>
      <c r="E31" s="92">
        <v>31.57</v>
      </c>
      <c r="F31" s="12">
        <v>0.35</v>
      </c>
      <c r="G31" s="11">
        <v>0.7</v>
      </c>
      <c r="H31" s="92">
        <v>48.07</v>
      </c>
      <c r="I31" s="92">
        <v>28.91</v>
      </c>
      <c r="J31" s="12">
        <v>0.35</v>
      </c>
      <c r="K31" s="11">
        <v>1</v>
      </c>
      <c r="L31" s="623">
        <v>4.8587500000000006</v>
      </c>
      <c r="M31" s="624">
        <f t="shared" si="1"/>
        <v>45.201847599999994</v>
      </c>
      <c r="O31" t="s">
        <v>942</v>
      </c>
    </row>
    <row r="32" spans="2:16">
      <c r="B32" s="226" t="s">
        <v>1402</v>
      </c>
      <c r="C32" s="227">
        <v>35</v>
      </c>
      <c r="D32" s="11">
        <v>1.08</v>
      </c>
      <c r="E32" s="92">
        <v>44.9</v>
      </c>
      <c r="F32" s="12">
        <v>0.35</v>
      </c>
      <c r="G32" s="11">
        <v>0.7</v>
      </c>
      <c r="H32" s="92">
        <v>71.650000000000006</v>
      </c>
      <c r="I32" s="92">
        <v>54.33</v>
      </c>
      <c r="J32" s="12">
        <v>0.35</v>
      </c>
      <c r="K32" s="11">
        <v>1</v>
      </c>
      <c r="L32" s="623">
        <v>6.0098999999999991</v>
      </c>
      <c r="M32" s="624">
        <f t="shared" si="1"/>
        <v>67.183002250000001</v>
      </c>
      <c r="O32" t="s">
        <v>942</v>
      </c>
    </row>
    <row r="33" spans="2:15">
      <c r="B33" s="226" t="s">
        <v>1404</v>
      </c>
      <c r="C33" s="227">
        <v>42</v>
      </c>
      <c r="D33" s="11">
        <v>1.08</v>
      </c>
      <c r="E33" s="92">
        <v>57.3</v>
      </c>
      <c r="F33" s="12">
        <v>0.35</v>
      </c>
      <c r="G33" s="11">
        <v>0.7</v>
      </c>
      <c r="H33" s="92">
        <v>99.84</v>
      </c>
      <c r="I33" s="92">
        <v>86.2</v>
      </c>
      <c r="J33" s="12">
        <v>0.35</v>
      </c>
      <c r="K33" s="11">
        <v>1</v>
      </c>
      <c r="L33" s="623">
        <v>7.2806499999999996</v>
      </c>
      <c r="M33" s="624">
        <f t="shared" si="1"/>
        <v>91.176790249999996</v>
      </c>
      <c r="O33" t="s">
        <v>942</v>
      </c>
    </row>
    <row r="34" spans="2:15">
      <c r="B34" s="226" t="s">
        <v>1406</v>
      </c>
      <c r="C34" s="227">
        <v>54</v>
      </c>
      <c r="D34" s="11">
        <v>1.08</v>
      </c>
      <c r="E34" s="92">
        <v>74.31</v>
      </c>
      <c r="F34" s="12">
        <v>0.35</v>
      </c>
      <c r="G34" s="11">
        <v>0.5</v>
      </c>
      <c r="H34" s="92">
        <v>123</v>
      </c>
      <c r="I34" s="92">
        <v>114.8</v>
      </c>
      <c r="J34" s="12">
        <v>0.35</v>
      </c>
      <c r="K34" s="11">
        <v>1</v>
      </c>
      <c r="L34" s="623">
        <v>9.9417500000000008</v>
      </c>
      <c r="M34" s="624">
        <f t="shared" si="1"/>
        <v>102.26111804999999</v>
      </c>
      <c r="O34" t="s">
        <v>942</v>
      </c>
    </row>
    <row r="35" spans="2:15">
      <c r="B35" s="226" t="s">
        <v>1408</v>
      </c>
      <c r="C35" s="227">
        <v>66</v>
      </c>
      <c r="D35" s="11">
        <v>1.08</v>
      </c>
      <c r="E35" s="92">
        <v>96.1</v>
      </c>
      <c r="F35" s="12">
        <v>0.35</v>
      </c>
      <c r="G35" s="11">
        <v>0.5</v>
      </c>
      <c r="H35" s="92">
        <v>557.6</v>
      </c>
      <c r="I35" s="92">
        <v>310.58</v>
      </c>
      <c r="J35" s="12">
        <v>0.35</v>
      </c>
      <c r="K35" s="11">
        <v>1</v>
      </c>
      <c r="L35" s="623">
        <v>11.541399999999999</v>
      </c>
      <c r="M35" s="624">
        <f t="shared" si="1"/>
        <v>223.38409274999998</v>
      </c>
      <c r="O35" t="s">
        <v>942</v>
      </c>
    </row>
    <row r="36" spans="2:15">
      <c r="B36" s="226" t="s">
        <v>1410</v>
      </c>
      <c r="C36" s="227">
        <v>76</v>
      </c>
      <c r="D36" s="11">
        <v>1.08</v>
      </c>
      <c r="E36" s="92">
        <v>191.68</v>
      </c>
      <c r="F36" s="12">
        <v>0.35</v>
      </c>
      <c r="G36" s="11">
        <v>0.5</v>
      </c>
      <c r="H36" s="92">
        <v>731.85</v>
      </c>
      <c r="I36" s="92">
        <v>384.38</v>
      </c>
      <c r="J36" s="12">
        <v>0.35</v>
      </c>
      <c r="K36" s="11">
        <v>1</v>
      </c>
      <c r="L36" s="623">
        <v>11.541399999999999</v>
      </c>
      <c r="M36" s="624">
        <f t="shared" si="1"/>
        <v>332.40045702500004</v>
      </c>
      <c r="O36" t="s">
        <v>942</v>
      </c>
    </row>
    <row r="37" spans="2:15">
      <c r="B37" s="226" t="s">
        <v>1412</v>
      </c>
      <c r="C37" s="227">
        <v>88</v>
      </c>
      <c r="D37" s="11">
        <v>1.06</v>
      </c>
      <c r="E37" s="92">
        <v>222.43</v>
      </c>
      <c r="F37" s="12">
        <v>0.35</v>
      </c>
      <c r="G37" s="11">
        <v>0.5</v>
      </c>
      <c r="H37" s="92">
        <v>850.75</v>
      </c>
      <c r="I37" s="92">
        <v>460.23</v>
      </c>
      <c r="J37" s="12">
        <v>0.35</v>
      </c>
      <c r="K37" s="11">
        <v>1</v>
      </c>
      <c r="L37" s="623">
        <v>13.544699999999999</v>
      </c>
      <c r="M37" s="624">
        <f t="shared" si="1"/>
        <v>385.53071829999993</v>
      </c>
      <c r="O37" t="s">
        <v>942</v>
      </c>
    </row>
    <row r="38" spans="2:15">
      <c r="B38" s="226" t="s">
        <v>1414</v>
      </c>
      <c r="C38" s="227">
        <v>108</v>
      </c>
      <c r="D38" s="11">
        <v>1.06</v>
      </c>
      <c r="E38" s="92">
        <v>258.3</v>
      </c>
      <c r="F38" s="12">
        <v>0.35</v>
      </c>
      <c r="G38" s="11">
        <v>0.5</v>
      </c>
      <c r="H38" s="92">
        <v>967.6</v>
      </c>
      <c r="I38" s="92">
        <v>631.4</v>
      </c>
      <c r="J38" s="12">
        <v>0.35</v>
      </c>
      <c r="K38" s="11">
        <v>1</v>
      </c>
      <c r="L38" s="623">
        <v>17.86525</v>
      </c>
      <c r="M38" s="624">
        <f t="shared" si="1"/>
        <v>462.50652174999993</v>
      </c>
      <c r="O38" t="s">
        <v>942</v>
      </c>
    </row>
    <row r="41" spans="2:15" ht="15.75" thickBot="1">
      <c r="B41" s="28" t="s">
        <v>1417</v>
      </c>
      <c r="C41" s="28"/>
      <c r="D41" s="28"/>
      <c r="E41" s="28"/>
      <c r="M41" s="618"/>
    </row>
    <row r="42" spans="2:15">
      <c r="B42" s="240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619"/>
    </row>
    <row r="43" spans="2:15">
      <c r="B43" s="277"/>
      <c r="M43" s="620"/>
    </row>
    <row r="44" spans="2:15">
      <c r="B44" s="273"/>
      <c r="M44" s="620"/>
    </row>
    <row r="45" spans="2:15">
      <c r="B45" s="273" t="s">
        <v>769</v>
      </c>
      <c r="C45" t="s">
        <v>769</v>
      </c>
      <c r="D45" t="s">
        <v>611</v>
      </c>
      <c r="E45" t="s">
        <v>612</v>
      </c>
      <c r="F45" t="s">
        <v>613</v>
      </c>
      <c r="G45" t="s">
        <v>611</v>
      </c>
      <c r="H45" t="s">
        <v>614</v>
      </c>
      <c r="I45" t="s">
        <v>615</v>
      </c>
      <c r="J45" t="s">
        <v>613</v>
      </c>
      <c r="K45" t="s">
        <v>611</v>
      </c>
      <c r="L45" t="s">
        <v>616</v>
      </c>
      <c r="M45" s="620" t="s">
        <v>617</v>
      </c>
    </row>
    <row r="46" spans="2:15">
      <c r="B46" s="226" t="s">
        <v>47</v>
      </c>
      <c r="C46" s="227">
        <v>12</v>
      </c>
      <c r="D46" s="11">
        <v>1.08</v>
      </c>
      <c r="E46" s="11">
        <v>9.0299999999999994</v>
      </c>
      <c r="F46" s="12">
        <v>0.4</v>
      </c>
      <c r="G46" s="11">
        <v>0.8</v>
      </c>
      <c r="H46" s="11">
        <v>23.42</v>
      </c>
      <c r="I46" s="11">
        <v>12.56</v>
      </c>
      <c r="J46" s="12">
        <v>0.4</v>
      </c>
      <c r="K46" s="11">
        <v>1</v>
      </c>
      <c r="L46" s="623">
        <v>2.9899999999999998</v>
      </c>
      <c r="M46" s="624">
        <f>(D46*(E46-E46*F46)+G46*((H46+I46)-(H46+I46)*J46)/2+K46*L46)*1.1</f>
        <v>19.224304</v>
      </c>
    </row>
    <row r="47" spans="2:15">
      <c r="B47" s="226" t="s">
        <v>47</v>
      </c>
      <c r="C47" s="227">
        <v>15</v>
      </c>
      <c r="D47" s="11">
        <v>1.08</v>
      </c>
      <c r="E47" s="11">
        <v>11.04</v>
      </c>
      <c r="F47" s="12">
        <f>F46</f>
        <v>0.4</v>
      </c>
      <c r="G47" s="11">
        <v>0.8</v>
      </c>
      <c r="H47" s="11">
        <v>23.95</v>
      </c>
      <c r="I47" s="11">
        <v>12.97</v>
      </c>
      <c r="J47" s="12">
        <f>J46</f>
        <v>0.4</v>
      </c>
      <c r="K47" s="11">
        <v>1</v>
      </c>
      <c r="L47" s="623">
        <v>2.9899999999999998</v>
      </c>
      <c r="M47" s="624">
        <f t="shared" ref="M47:M57" si="2">(D47*(E47-E47*F47)+G47*((H47+I47)-(H47+I47)*J47)/2+K47*L47)*1.1</f>
        <v>20.905192</v>
      </c>
    </row>
    <row r="48" spans="2:15">
      <c r="B48" s="226" t="s">
        <v>47</v>
      </c>
      <c r="C48" s="227">
        <v>18</v>
      </c>
      <c r="D48" s="11">
        <v>1.08</v>
      </c>
      <c r="E48" s="11">
        <v>12.89</v>
      </c>
      <c r="F48" s="12">
        <f t="shared" ref="F48:F57" si="3">F47</f>
        <v>0.4</v>
      </c>
      <c r="G48" s="11">
        <v>0.8</v>
      </c>
      <c r="H48" s="11">
        <v>25.89</v>
      </c>
      <c r="I48" s="11">
        <v>14.82</v>
      </c>
      <c r="J48" s="12">
        <f t="shared" ref="J48:J57" si="4">J47</f>
        <v>0.4</v>
      </c>
      <c r="K48" s="11">
        <v>1</v>
      </c>
      <c r="L48" s="623">
        <v>2.9899999999999998</v>
      </c>
      <c r="M48" s="624">
        <f t="shared" si="2"/>
        <v>23.224432</v>
      </c>
    </row>
    <row r="49" spans="2:13">
      <c r="B49" s="226" t="s">
        <v>47</v>
      </c>
      <c r="C49" s="227">
        <v>22</v>
      </c>
      <c r="D49" s="11">
        <v>1.08</v>
      </c>
      <c r="E49" s="11">
        <v>17.14</v>
      </c>
      <c r="F49" s="12">
        <f t="shared" si="3"/>
        <v>0.4</v>
      </c>
      <c r="G49" s="11">
        <v>0.8</v>
      </c>
      <c r="H49" s="11">
        <v>27.72</v>
      </c>
      <c r="I49" s="11">
        <v>17.73</v>
      </c>
      <c r="J49" s="12">
        <f t="shared" si="4"/>
        <v>0.4</v>
      </c>
      <c r="K49" s="11">
        <v>1</v>
      </c>
      <c r="L49" s="623">
        <v>3.5879999999999996</v>
      </c>
      <c r="M49" s="624">
        <f t="shared" si="2"/>
        <v>28.162992000000003</v>
      </c>
    </row>
    <row r="50" spans="2:13">
      <c r="B50" s="226" t="s">
        <v>49</v>
      </c>
      <c r="C50" s="227">
        <v>28</v>
      </c>
      <c r="D50" s="11">
        <v>1.08</v>
      </c>
      <c r="E50" s="11">
        <v>24.03</v>
      </c>
      <c r="F50" s="12">
        <f t="shared" si="3"/>
        <v>0.4</v>
      </c>
      <c r="G50" s="11">
        <v>0.7</v>
      </c>
      <c r="H50" s="11">
        <v>37.049999999999997</v>
      </c>
      <c r="I50" s="11">
        <v>23.45</v>
      </c>
      <c r="J50" s="12">
        <f t="shared" si="4"/>
        <v>0.4</v>
      </c>
      <c r="K50" s="11">
        <v>1</v>
      </c>
      <c r="L50" s="623">
        <v>4.8587500000000006</v>
      </c>
      <c r="M50" s="624">
        <f t="shared" si="2"/>
        <v>36.448709000000008</v>
      </c>
    </row>
    <row r="51" spans="2:13">
      <c r="B51" s="226" t="s">
        <v>51</v>
      </c>
      <c r="C51" s="227">
        <v>35</v>
      </c>
      <c r="D51" s="11">
        <v>1.08</v>
      </c>
      <c r="E51" s="11">
        <v>30.98</v>
      </c>
      <c r="F51" s="12">
        <f t="shared" si="3"/>
        <v>0.4</v>
      </c>
      <c r="G51" s="11">
        <v>0.7</v>
      </c>
      <c r="H51" s="11">
        <v>57.57</v>
      </c>
      <c r="I51" s="11">
        <v>46.4</v>
      </c>
      <c r="J51" s="12">
        <f t="shared" si="4"/>
        <v>0.4</v>
      </c>
      <c r="K51" s="11">
        <v>1</v>
      </c>
      <c r="L51" s="623">
        <v>6.0098999999999991</v>
      </c>
      <c r="M51" s="624">
        <f t="shared" si="2"/>
        <v>52.710504</v>
      </c>
    </row>
    <row r="52" spans="2:13">
      <c r="B52" s="226" t="s">
        <v>53</v>
      </c>
      <c r="C52" s="227">
        <v>42</v>
      </c>
      <c r="D52" s="11">
        <v>1.08</v>
      </c>
      <c r="E52" s="11">
        <v>39.86</v>
      </c>
      <c r="F52" s="12">
        <f t="shared" si="3"/>
        <v>0.4</v>
      </c>
      <c r="G52" s="11">
        <v>0.7</v>
      </c>
      <c r="H52" s="11">
        <v>84.94</v>
      </c>
      <c r="I52" s="11">
        <v>73.489999999999995</v>
      </c>
      <c r="J52" s="12">
        <f t="shared" si="4"/>
        <v>0.4</v>
      </c>
      <c r="K52" s="11">
        <v>1</v>
      </c>
      <c r="L52" s="623">
        <v>7.2806499999999996</v>
      </c>
      <c r="M52" s="624">
        <f t="shared" si="2"/>
        <v>73.018253000000001</v>
      </c>
    </row>
    <row r="53" spans="2:13">
      <c r="B53" s="226" t="s">
        <v>55</v>
      </c>
      <c r="C53" s="227">
        <v>54</v>
      </c>
      <c r="D53" s="11">
        <v>1.08</v>
      </c>
      <c r="E53" s="11">
        <v>51.65</v>
      </c>
      <c r="F53" s="12">
        <f t="shared" si="3"/>
        <v>0.4</v>
      </c>
      <c r="G53" s="11">
        <v>0.5</v>
      </c>
      <c r="H53" s="11">
        <v>102.57</v>
      </c>
      <c r="I53" s="11">
        <v>98.54</v>
      </c>
      <c r="J53" s="12">
        <f t="shared" si="4"/>
        <v>0.4</v>
      </c>
      <c r="K53" s="11">
        <v>1</v>
      </c>
      <c r="L53" s="623">
        <v>9.9417500000000008</v>
      </c>
      <c r="M53" s="624">
        <f t="shared" si="2"/>
        <v>80.935195000000007</v>
      </c>
    </row>
    <row r="54" spans="2:13">
      <c r="B54" s="226" t="s">
        <v>57</v>
      </c>
      <c r="C54" s="227">
        <v>64</v>
      </c>
      <c r="D54" s="11">
        <v>1.08</v>
      </c>
      <c r="E54" s="11">
        <v>110.67</v>
      </c>
      <c r="F54" s="12">
        <f t="shared" si="3"/>
        <v>0.4</v>
      </c>
      <c r="G54" s="11">
        <v>0.5</v>
      </c>
      <c r="H54" s="11">
        <v>521.74</v>
      </c>
      <c r="I54" s="11">
        <v>282.66000000000003</v>
      </c>
      <c r="J54" s="12">
        <f t="shared" si="4"/>
        <v>0.4</v>
      </c>
      <c r="K54" s="11">
        <v>1</v>
      </c>
      <c r="L54" s="623">
        <v>11.541399999999999</v>
      </c>
      <c r="M54" s="624">
        <f t="shared" si="2"/>
        <v>224.30711600000004</v>
      </c>
    </row>
    <row r="55" spans="2:13">
      <c r="B55" s="226" t="s">
        <v>59</v>
      </c>
      <c r="C55" s="227">
        <v>76</v>
      </c>
      <c r="D55" s="11">
        <v>1.08</v>
      </c>
      <c r="E55" s="11">
        <v>132.47999999999999</v>
      </c>
      <c r="F55" s="12">
        <f t="shared" si="3"/>
        <v>0.4</v>
      </c>
      <c r="G55" s="11">
        <v>0.5</v>
      </c>
      <c r="H55" s="11">
        <v>592.6</v>
      </c>
      <c r="I55" s="11">
        <v>317.89</v>
      </c>
      <c r="J55" s="12">
        <f t="shared" si="4"/>
        <v>0.4</v>
      </c>
      <c r="K55" s="11">
        <v>1</v>
      </c>
      <c r="L55" s="623">
        <v>11.541399999999999</v>
      </c>
      <c r="M55" s="624">
        <f t="shared" si="2"/>
        <v>257.35813400000006</v>
      </c>
    </row>
    <row r="56" spans="2:13">
      <c r="B56" s="226" t="s">
        <v>60</v>
      </c>
      <c r="C56" s="227">
        <v>88</v>
      </c>
      <c r="D56" s="11">
        <v>1.06</v>
      </c>
      <c r="E56" s="11">
        <v>149.94999999999999</v>
      </c>
      <c r="F56" s="12">
        <f t="shared" si="3"/>
        <v>0.4</v>
      </c>
      <c r="G56" s="11">
        <v>0.5</v>
      </c>
      <c r="H56" s="11">
        <v>686.9</v>
      </c>
      <c r="I56" s="11">
        <v>380.73</v>
      </c>
      <c r="J56" s="12">
        <f t="shared" si="4"/>
        <v>0.4</v>
      </c>
      <c r="K56" s="11">
        <v>1</v>
      </c>
      <c r="L56" s="623">
        <v>13.544699999999999</v>
      </c>
      <c r="M56" s="624">
        <f t="shared" si="2"/>
        <v>295.96314000000001</v>
      </c>
    </row>
    <row r="57" spans="2:13">
      <c r="B57" s="226" t="s">
        <v>62</v>
      </c>
      <c r="C57" s="227">
        <v>108</v>
      </c>
      <c r="D57" s="11">
        <v>1.06</v>
      </c>
      <c r="E57" s="11">
        <v>175.41</v>
      </c>
      <c r="F57" s="12">
        <f t="shared" si="3"/>
        <v>0.4</v>
      </c>
      <c r="G57" s="11">
        <v>0.5</v>
      </c>
      <c r="H57" s="11">
        <v>788.85</v>
      </c>
      <c r="I57" s="11">
        <v>524.59</v>
      </c>
      <c r="J57" s="12">
        <f t="shared" si="4"/>
        <v>0.4</v>
      </c>
      <c r="K57" s="11">
        <v>1</v>
      </c>
      <c r="L57" s="623">
        <v>17.86525</v>
      </c>
      <c r="M57" s="624">
        <f t="shared" si="2"/>
        <v>359.08621099999999</v>
      </c>
    </row>
    <row r="58" spans="2:13" ht="15.75" thickBot="1">
      <c r="B58" s="640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641"/>
    </row>
    <row r="61" spans="2:13" ht="15.75" thickBot="1">
      <c r="B61" s="28" t="s">
        <v>1418</v>
      </c>
      <c r="C61" s="28"/>
      <c r="D61" s="28"/>
      <c r="E61" s="28"/>
      <c r="M61" s="618"/>
    </row>
    <row r="62" spans="2:13">
      <c r="B62" s="240" t="s">
        <v>1419</v>
      </c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619"/>
    </row>
    <row r="63" spans="2:13">
      <c r="B63" s="277"/>
      <c r="M63" s="620"/>
    </row>
    <row r="64" spans="2:13">
      <c r="B64" s="273"/>
      <c r="M64" s="620"/>
    </row>
    <row r="65" spans="2:13">
      <c r="B65" s="273" t="s">
        <v>769</v>
      </c>
      <c r="C65" t="s">
        <v>769</v>
      </c>
      <c r="D65" t="s">
        <v>611</v>
      </c>
      <c r="E65" t="s">
        <v>612</v>
      </c>
      <c r="F65" t="s">
        <v>613</v>
      </c>
      <c r="G65" t="s">
        <v>611</v>
      </c>
      <c r="H65" t="s">
        <v>614</v>
      </c>
      <c r="I65" t="s">
        <v>615</v>
      </c>
      <c r="J65" t="s">
        <v>613</v>
      </c>
      <c r="K65" t="s">
        <v>611</v>
      </c>
      <c r="L65" t="s">
        <v>616</v>
      </c>
      <c r="M65" s="620" t="s">
        <v>617</v>
      </c>
    </row>
    <row r="66" spans="2:13">
      <c r="B66" s="226"/>
      <c r="C66" s="227"/>
      <c r="D66" s="11"/>
      <c r="E66" s="11"/>
      <c r="F66" s="12"/>
      <c r="G66" s="11"/>
      <c r="H66" s="11"/>
      <c r="I66" s="11"/>
      <c r="J66" s="12"/>
      <c r="K66" s="11"/>
      <c r="L66" s="623"/>
      <c r="M66" s="624"/>
    </row>
    <row r="67" spans="2:13">
      <c r="B67" s="226"/>
      <c r="C67" s="227"/>
      <c r="D67" s="11"/>
      <c r="E67" s="11"/>
      <c r="F67" s="12"/>
      <c r="G67" s="11"/>
      <c r="H67" s="11"/>
      <c r="I67" s="11"/>
      <c r="J67" s="12"/>
      <c r="K67" s="11"/>
      <c r="L67" s="623"/>
      <c r="M67" s="624"/>
    </row>
    <row r="68" spans="2:13">
      <c r="B68" s="226" t="s">
        <v>94</v>
      </c>
      <c r="C68" s="227">
        <v>15</v>
      </c>
      <c r="D68" s="11">
        <v>1.08</v>
      </c>
      <c r="E68" s="11">
        <v>12.42</v>
      </c>
      <c r="F68" s="12">
        <v>0.4</v>
      </c>
      <c r="G68" s="11">
        <v>0.8</v>
      </c>
      <c r="H68" s="11">
        <v>20.400000000000002</v>
      </c>
      <c r="I68" s="11">
        <v>12.88</v>
      </c>
      <c r="J68" s="12">
        <v>0.4</v>
      </c>
      <c r="K68" s="11">
        <v>1</v>
      </c>
      <c r="L68" s="623">
        <f t="shared" ref="L68:L77" si="5">ROUND(L89*1.3,2)</f>
        <v>0</v>
      </c>
      <c r="M68" s="624">
        <f t="shared" ref="M68:M74" si="6">(D68*(E68-E68*F68)+G68*((H68+I68)-(H68+I68)*J68)/2+K68*L68)*1.1</f>
        <v>17.638896000000003</v>
      </c>
    </row>
    <row r="69" spans="2:13">
      <c r="B69" s="226" t="s">
        <v>47</v>
      </c>
      <c r="C69" s="227">
        <v>18</v>
      </c>
      <c r="D69" s="11">
        <v>1.08</v>
      </c>
      <c r="E69" s="11">
        <v>13.98</v>
      </c>
      <c r="F69" s="12">
        <f t="shared" ref="F69:F77" si="7">F68</f>
        <v>0.4</v>
      </c>
      <c r="G69" s="11">
        <v>0.8</v>
      </c>
      <c r="H69" s="11">
        <v>22.04</v>
      </c>
      <c r="I69" s="11">
        <v>13.55</v>
      </c>
      <c r="J69" s="12">
        <f t="shared" ref="J69:J77" si="8">J68</f>
        <v>0.4</v>
      </c>
      <c r="K69" s="11">
        <v>1</v>
      </c>
      <c r="L69" s="623">
        <f t="shared" si="5"/>
        <v>0</v>
      </c>
      <c r="M69" s="624">
        <f t="shared" si="6"/>
        <v>19.360704000000005</v>
      </c>
    </row>
    <row r="70" spans="2:13">
      <c r="B70" s="226" t="s">
        <v>49</v>
      </c>
      <c r="C70" s="227">
        <v>22</v>
      </c>
      <c r="D70" s="11">
        <v>1.08</v>
      </c>
      <c r="E70" s="11">
        <v>19.87</v>
      </c>
      <c r="F70" s="12">
        <f t="shared" si="7"/>
        <v>0.4</v>
      </c>
      <c r="G70" s="11">
        <v>0.8</v>
      </c>
      <c r="H70" s="11">
        <v>23.85</v>
      </c>
      <c r="I70" s="11">
        <v>14.33</v>
      </c>
      <c r="J70" s="12">
        <f t="shared" si="8"/>
        <v>0.4</v>
      </c>
      <c r="K70" s="11">
        <v>1</v>
      </c>
      <c r="L70" s="623">
        <f t="shared" si="5"/>
        <v>0</v>
      </c>
      <c r="M70" s="624">
        <f t="shared" si="6"/>
        <v>24.242856000000007</v>
      </c>
    </row>
    <row r="71" spans="2:13">
      <c r="B71" s="226" t="s">
        <v>51</v>
      </c>
      <c r="C71" s="227">
        <v>28</v>
      </c>
      <c r="D71" s="11">
        <v>1.08</v>
      </c>
      <c r="E71" s="11">
        <v>27.69</v>
      </c>
      <c r="F71" s="12">
        <f t="shared" si="7"/>
        <v>0.4</v>
      </c>
      <c r="G71" s="11">
        <v>0.7</v>
      </c>
      <c r="H71" s="11">
        <v>31.7</v>
      </c>
      <c r="I71" s="11">
        <v>19.34</v>
      </c>
      <c r="J71" s="12">
        <f t="shared" si="8"/>
        <v>0.4</v>
      </c>
      <c r="K71" s="11">
        <v>1</v>
      </c>
      <c r="L71" s="623">
        <f t="shared" si="5"/>
        <v>0</v>
      </c>
      <c r="M71" s="624">
        <f t="shared" si="6"/>
        <v>31.527672000000003</v>
      </c>
    </row>
    <row r="72" spans="2:13">
      <c r="B72" s="226" t="s">
        <v>53</v>
      </c>
      <c r="C72" s="227">
        <v>35</v>
      </c>
      <c r="D72" s="11">
        <v>1.08</v>
      </c>
      <c r="E72" s="11">
        <v>33.71</v>
      </c>
      <c r="F72" s="12">
        <f t="shared" si="7"/>
        <v>0.4</v>
      </c>
      <c r="G72" s="11">
        <v>0.7</v>
      </c>
      <c r="H72" s="11">
        <v>49.39</v>
      </c>
      <c r="I72" s="11">
        <v>37.9</v>
      </c>
      <c r="J72" s="12">
        <f t="shared" si="8"/>
        <v>0.4</v>
      </c>
      <c r="K72" s="11">
        <v>1</v>
      </c>
      <c r="L72" s="623">
        <f t="shared" si="5"/>
        <v>0</v>
      </c>
      <c r="M72" s="624">
        <f t="shared" si="6"/>
        <v>44.192478000000001</v>
      </c>
    </row>
    <row r="73" spans="2:13">
      <c r="B73" s="226" t="s">
        <v>55</v>
      </c>
      <c r="C73" s="227">
        <v>42</v>
      </c>
      <c r="D73" s="11">
        <v>1.08</v>
      </c>
      <c r="E73" s="11">
        <v>43.54</v>
      </c>
      <c r="F73" s="12">
        <f t="shared" si="7"/>
        <v>0.4</v>
      </c>
      <c r="G73" s="11">
        <v>0.7</v>
      </c>
      <c r="H73" s="11">
        <v>72.86</v>
      </c>
      <c r="I73" s="11">
        <v>47.75</v>
      </c>
      <c r="J73" s="12">
        <f t="shared" si="8"/>
        <v>0.4</v>
      </c>
      <c r="K73" s="11">
        <v>1</v>
      </c>
      <c r="L73" s="623">
        <f t="shared" si="5"/>
        <v>0</v>
      </c>
      <c r="M73" s="624">
        <f t="shared" si="6"/>
        <v>58.896222000000009</v>
      </c>
    </row>
    <row r="74" spans="2:13">
      <c r="B74" s="226" t="s">
        <v>57</v>
      </c>
      <c r="C74" s="227">
        <v>54</v>
      </c>
      <c r="D74" s="11">
        <v>1.08</v>
      </c>
      <c r="E74" s="11">
        <v>56.35</v>
      </c>
      <c r="F74" s="12">
        <f t="shared" si="7"/>
        <v>0.4</v>
      </c>
      <c r="G74" s="11">
        <v>0.5</v>
      </c>
      <c r="H74" s="11">
        <v>88.02</v>
      </c>
      <c r="I74" s="11">
        <v>53.83</v>
      </c>
      <c r="J74" s="12">
        <f t="shared" si="8"/>
        <v>0.4</v>
      </c>
      <c r="K74" s="11">
        <v>1</v>
      </c>
      <c r="L74" s="623">
        <f t="shared" si="5"/>
        <v>0</v>
      </c>
      <c r="M74" s="624">
        <f t="shared" si="6"/>
        <v>63.57153000000001</v>
      </c>
    </row>
    <row r="75" spans="2:13">
      <c r="B75" s="226" t="s">
        <v>59</v>
      </c>
      <c r="C75" s="227">
        <v>76</v>
      </c>
      <c r="D75" s="11">
        <v>1.08</v>
      </c>
      <c r="E75" s="11">
        <v>120.21000000000001</v>
      </c>
      <c r="F75" s="12">
        <f t="shared" si="7"/>
        <v>0.4</v>
      </c>
      <c r="G75" s="11">
        <v>0.5</v>
      </c>
      <c r="H75" s="11">
        <v>506.77000000000004</v>
      </c>
      <c r="I75" s="11">
        <v>363.64</v>
      </c>
      <c r="J75" s="12">
        <f t="shared" si="8"/>
        <v>0.4</v>
      </c>
      <c r="K75" s="11">
        <v>1</v>
      </c>
      <c r="L75" s="623">
        <f t="shared" si="5"/>
        <v>0</v>
      </c>
      <c r="M75" s="624">
        <f>(D75*(E75-E75*F75)+G75*((H75+I75)-(H75+I75)*J75)/2+K75*L75)*1.1</f>
        <v>229.30333800000005</v>
      </c>
    </row>
    <row r="76" spans="2:13">
      <c r="B76" s="226" t="s">
        <v>60</v>
      </c>
      <c r="C76" s="227">
        <v>88</v>
      </c>
      <c r="D76" s="11">
        <v>1.06</v>
      </c>
      <c r="E76" s="11">
        <v>139.6</v>
      </c>
      <c r="F76" s="12">
        <f t="shared" si="7"/>
        <v>0.4</v>
      </c>
      <c r="G76" s="11">
        <v>0.5</v>
      </c>
      <c r="H76" s="11">
        <v>585.71</v>
      </c>
      <c r="I76" s="11">
        <v>302.22000000000003</v>
      </c>
      <c r="J76" s="12">
        <f t="shared" si="8"/>
        <v>0.4</v>
      </c>
      <c r="K76" s="11">
        <v>1</v>
      </c>
      <c r="L76" s="623">
        <f t="shared" si="5"/>
        <v>0</v>
      </c>
      <c r="M76" s="624">
        <f>(D76*(E76-E76*F76)+G76*((H76+I76)-(H76+I76)*J76)/2+K76*L76)*1.1</f>
        <v>244.17261000000002</v>
      </c>
    </row>
    <row r="77" spans="2:13">
      <c r="B77" s="226" t="s">
        <v>62</v>
      </c>
      <c r="C77" s="227">
        <v>108</v>
      </c>
      <c r="D77" s="11">
        <v>1.06</v>
      </c>
      <c r="E77" s="11">
        <v>162.74</v>
      </c>
      <c r="F77" s="12">
        <f t="shared" si="7"/>
        <v>0.4</v>
      </c>
      <c r="G77" s="11">
        <v>0.5</v>
      </c>
      <c r="H77" s="11">
        <v>712.99</v>
      </c>
      <c r="I77" s="11">
        <v>438.99</v>
      </c>
      <c r="J77" s="12">
        <f t="shared" si="8"/>
        <v>0.4</v>
      </c>
      <c r="K77" s="11">
        <v>1</v>
      </c>
      <c r="L77" s="623">
        <f t="shared" si="5"/>
        <v>0</v>
      </c>
      <c r="M77" s="624">
        <f>(D77*(E77-E77*F77)+G77*((H77+I77)-(H77+I77)*J77)/2+K77*L77)*1.1</f>
        <v>303.92960400000004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6E12-0377-4138-BF5E-B7B3FF4B26E8}">
  <dimension ref="A2:M72"/>
  <sheetViews>
    <sheetView tabSelected="1" topLeftCell="A42" workbookViewId="0">
      <selection activeCell="J69" sqref="J69"/>
    </sheetView>
  </sheetViews>
  <sheetFormatPr defaultRowHeight="15"/>
  <cols>
    <col min="1" max="1" width="15.85546875" customWidth="1"/>
    <col min="2" max="2" width="31.42578125" customWidth="1"/>
    <col min="3" max="3" width="8.5703125" customWidth="1"/>
    <col min="4" max="4" width="8.7109375" customWidth="1"/>
    <col min="5" max="5" width="11.7109375" customWidth="1"/>
    <col min="6" max="6" width="10.28515625" customWidth="1"/>
    <col min="7" max="7" width="8.7109375" customWidth="1"/>
    <col min="8" max="9" width="14.42578125" customWidth="1"/>
    <col min="10" max="12" width="8.7109375" customWidth="1"/>
    <col min="13" max="13" width="11" customWidth="1"/>
    <col min="258" max="258" width="31.42578125" customWidth="1"/>
    <col min="259" max="259" width="8.5703125" customWidth="1"/>
    <col min="260" max="260" width="8.7109375" customWidth="1"/>
    <col min="261" max="261" width="11.7109375" customWidth="1"/>
    <col min="262" max="262" width="10.28515625" customWidth="1"/>
    <col min="263" max="263" width="8.7109375" customWidth="1"/>
    <col min="264" max="265" width="14.42578125" customWidth="1"/>
    <col min="266" max="268" width="8.7109375" customWidth="1"/>
    <col min="269" max="269" width="11" customWidth="1"/>
    <col min="514" max="514" width="31.42578125" customWidth="1"/>
    <col min="515" max="515" width="8.5703125" customWidth="1"/>
    <col min="516" max="516" width="8.7109375" customWidth="1"/>
    <col min="517" max="517" width="11.7109375" customWidth="1"/>
    <col min="518" max="518" width="10.28515625" customWidth="1"/>
    <col min="519" max="519" width="8.7109375" customWidth="1"/>
    <col min="520" max="521" width="14.42578125" customWidth="1"/>
    <col min="522" max="524" width="8.7109375" customWidth="1"/>
    <col min="525" max="525" width="11" customWidth="1"/>
    <col min="770" max="770" width="31.42578125" customWidth="1"/>
    <col min="771" max="771" width="8.5703125" customWidth="1"/>
    <col min="772" max="772" width="8.7109375" customWidth="1"/>
    <col min="773" max="773" width="11.7109375" customWidth="1"/>
    <col min="774" max="774" width="10.28515625" customWidth="1"/>
    <col min="775" max="775" width="8.7109375" customWidth="1"/>
    <col min="776" max="777" width="14.42578125" customWidth="1"/>
    <col min="778" max="780" width="8.7109375" customWidth="1"/>
    <col min="781" max="781" width="11" customWidth="1"/>
    <col min="1026" max="1026" width="31.42578125" customWidth="1"/>
    <col min="1027" max="1027" width="8.5703125" customWidth="1"/>
    <col min="1028" max="1028" width="8.7109375" customWidth="1"/>
    <col min="1029" max="1029" width="11.7109375" customWidth="1"/>
    <col min="1030" max="1030" width="10.28515625" customWidth="1"/>
    <col min="1031" max="1031" width="8.7109375" customWidth="1"/>
    <col min="1032" max="1033" width="14.42578125" customWidth="1"/>
    <col min="1034" max="1036" width="8.7109375" customWidth="1"/>
    <col min="1037" max="1037" width="11" customWidth="1"/>
    <col min="1282" max="1282" width="31.42578125" customWidth="1"/>
    <col min="1283" max="1283" width="8.5703125" customWidth="1"/>
    <col min="1284" max="1284" width="8.7109375" customWidth="1"/>
    <col min="1285" max="1285" width="11.7109375" customWidth="1"/>
    <col min="1286" max="1286" width="10.28515625" customWidth="1"/>
    <col min="1287" max="1287" width="8.7109375" customWidth="1"/>
    <col min="1288" max="1289" width="14.42578125" customWidth="1"/>
    <col min="1290" max="1292" width="8.7109375" customWidth="1"/>
    <col min="1293" max="1293" width="11" customWidth="1"/>
    <col min="1538" max="1538" width="31.42578125" customWidth="1"/>
    <col min="1539" max="1539" width="8.5703125" customWidth="1"/>
    <col min="1540" max="1540" width="8.7109375" customWidth="1"/>
    <col min="1541" max="1541" width="11.7109375" customWidth="1"/>
    <col min="1542" max="1542" width="10.28515625" customWidth="1"/>
    <col min="1543" max="1543" width="8.7109375" customWidth="1"/>
    <col min="1544" max="1545" width="14.42578125" customWidth="1"/>
    <col min="1546" max="1548" width="8.7109375" customWidth="1"/>
    <col min="1549" max="1549" width="11" customWidth="1"/>
    <col min="1794" max="1794" width="31.42578125" customWidth="1"/>
    <col min="1795" max="1795" width="8.5703125" customWidth="1"/>
    <col min="1796" max="1796" width="8.7109375" customWidth="1"/>
    <col min="1797" max="1797" width="11.7109375" customWidth="1"/>
    <col min="1798" max="1798" width="10.28515625" customWidth="1"/>
    <col min="1799" max="1799" width="8.7109375" customWidth="1"/>
    <col min="1800" max="1801" width="14.42578125" customWidth="1"/>
    <col min="1802" max="1804" width="8.7109375" customWidth="1"/>
    <col min="1805" max="1805" width="11" customWidth="1"/>
    <col min="2050" max="2050" width="31.42578125" customWidth="1"/>
    <col min="2051" max="2051" width="8.5703125" customWidth="1"/>
    <col min="2052" max="2052" width="8.7109375" customWidth="1"/>
    <col min="2053" max="2053" width="11.7109375" customWidth="1"/>
    <col min="2054" max="2054" width="10.28515625" customWidth="1"/>
    <col min="2055" max="2055" width="8.7109375" customWidth="1"/>
    <col min="2056" max="2057" width="14.42578125" customWidth="1"/>
    <col min="2058" max="2060" width="8.7109375" customWidth="1"/>
    <col min="2061" max="2061" width="11" customWidth="1"/>
    <col min="2306" max="2306" width="31.42578125" customWidth="1"/>
    <col min="2307" max="2307" width="8.5703125" customWidth="1"/>
    <col min="2308" max="2308" width="8.7109375" customWidth="1"/>
    <col min="2309" max="2309" width="11.7109375" customWidth="1"/>
    <col min="2310" max="2310" width="10.28515625" customWidth="1"/>
    <col min="2311" max="2311" width="8.7109375" customWidth="1"/>
    <col min="2312" max="2313" width="14.42578125" customWidth="1"/>
    <col min="2314" max="2316" width="8.7109375" customWidth="1"/>
    <col min="2317" max="2317" width="11" customWidth="1"/>
    <col min="2562" max="2562" width="31.42578125" customWidth="1"/>
    <col min="2563" max="2563" width="8.5703125" customWidth="1"/>
    <col min="2564" max="2564" width="8.7109375" customWidth="1"/>
    <col min="2565" max="2565" width="11.7109375" customWidth="1"/>
    <col min="2566" max="2566" width="10.28515625" customWidth="1"/>
    <col min="2567" max="2567" width="8.7109375" customWidth="1"/>
    <col min="2568" max="2569" width="14.42578125" customWidth="1"/>
    <col min="2570" max="2572" width="8.7109375" customWidth="1"/>
    <col min="2573" max="2573" width="11" customWidth="1"/>
    <col min="2818" max="2818" width="31.42578125" customWidth="1"/>
    <col min="2819" max="2819" width="8.5703125" customWidth="1"/>
    <col min="2820" max="2820" width="8.7109375" customWidth="1"/>
    <col min="2821" max="2821" width="11.7109375" customWidth="1"/>
    <col min="2822" max="2822" width="10.28515625" customWidth="1"/>
    <col min="2823" max="2823" width="8.7109375" customWidth="1"/>
    <col min="2824" max="2825" width="14.42578125" customWidth="1"/>
    <col min="2826" max="2828" width="8.7109375" customWidth="1"/>
    <col min="2829" max="2829" width="11" customWidth="1"/>
    <col min="3074" max="3074" width="31.42578125" customWidth="1"/>
    <col min="3075" max="3075" width="8.5703125" customWidth="1"/>
    <col min="3076" max="3076" width="8.7109375" customWidth="1"/>
    <col min="3077" max="3077" width="11.7109375" customWidth="1"/>
    <col min="3078" max="3078" width="10.28515625" customWidth="1"/>
    <col min="3079" max="3079" width="8.7109375" customWidth="1"/>
    <col min="3080" max="3081" width="14.42578125" customWidth="1"/>
    <col min="3082" max="3084" width="8.7109375" customWidth="1"/>
    <col min="3085" max="3085" width="11" customWidth="1"/>
    <col min="3330" max="3330" width="31.42578125" customWidth="1"/>
    <col min="3331" max="3331" width="8.5703125" customWidth="1"/>
    <col min="3332" max="3332" width="8.7109375" customWidth="1"/>
    <col min="3333" max="3333" width="11.7109375" customWidth="1"/>
    <col min="3334" max="3334" width="10.28515625" customWidth="1"/>
    <col min="3335" max="3335" width="8.7109375" customWidth="1"/>
    <col min="3336" max="3337" width="14.42578125" customWidth="1"/>
    <col min="3338" max="3340" width="8.7109375" customWidth="1"/>
    <col min="3341" max="3341" width="11" customWidth="1"/>
    <col min="3586" max="3586" width="31.42578125" customWidth="1"/>
    <col min="3587" max="3587" width="8.5703125" customWidth="1"/>
    <col min="3588" max="3588" width="8.7109375" customWidth="1"/>
    <col min="3589" max="3589" width="11.7109375" customWidth="1"/>
    <col min="3590" max="3590" width="10.28515625" customWidth="1"/>
    <col min="3591" max="3591" width="8.7109375" customWidth="1"/>
    <col min="3592" max="3593" width="14.42578125" customWidth="1"/>
    <col min="3594" max="3596" width="8.7109375" customWidth="1"/>
    <col min="3597" max="3597" width="11" customWidth="1"/>
    <col min="3842" max="3842" width="31.42578125" customWidth="1"/>
    <col min="3843" max="3843" width="8.5703125" customWidth="1"/>
    <col min="3844" max="3844" width="8.7109375" customWidth="1"/>
    <col min="3845" max="3845" width="11.7109375" customWidth="1"/>
    <col min="3846" max="3846" width="10.28515625" customWidth="1"/>
    <col min="3847" max="3847" width="8.7109375" customWidth="1"/>
    <col min="3848" max="3849" width="14.42578125" customWidth="1"/>
    <col min="3850" max="3852" width="8.7109375" customWidth="1"/>
    <col min="3853" max="3853" width="11" customWidth="1"/>
    <col min="4098" max="4098" width="31.42578125" customWidth="1"/>
    <col min="4099" max="4099" width="8.5703125" customWidth="1"/>
    <col min="4100" max="4100" width="8.7109375" customWidth="1"/>
    <col min="4101" max="4101" width="11.7109375" customWidth="1"/>
    <col min="4102" max="4102" width="10.28515625" customWidth="1"/>
    <col min="4103" max="4103" width="8.7109375" customWidth="1"/>
    <col min="4104" max="4105" width="14.42578125" customWidth="1"/>
    <col min="4106" max="4108" width="8.7109375" customWidth="1"/>
    <col min="4109" max="4109" width="11" customWidth="1"/>
    <col min="4354" max="4354" width="31.42578125" customWidth="1"/>
    <col min="4355" max="4355" width="8.5703125" customWidth="1"/>
    <col min="4356" max="4356" width="8.7109375" customWidth="1"/>
    <col min="4357" max="4357" width="11.7109375" customWidth="1"/>
    <col min="4358" max="4358" width="10.28515625" customWidth="1"/>
    <col min="4359" max="4359" width="8.7109375" customWidth="1"/>
    <col min="4360" max="4361" width="14.42578125" customWidth="1"/>
    <col min="4362" max="4364" width="8.7109375" customWidth="1"/>
    <col min="4365" max="4365" width="11" customWidth="1"/>
    <col min="4610" max="4610" width="31.42578125" customWidth="1"/>
    <col min="4611" max="4611" width="8.5703125" customWidth="1"/>
    <col min="4612" max="4612" width="8.7109375" customWidth="1"/>
    <col min="4613" max="4613" width="11.7109375" customWidth="1"/>
    <col min="4614" max="4614" width="10.28515625" customWidth="1"/>
    <col min="4615" max="4615" width="8.7109375" customWidth="1"/>
    <col min="4616" max="4617" width="14.42578125" customWidth="1"/>
    <col min="4618" max="4620" width="8.7109375" customWidth="1"/>
    <col min="4621" max="4621" width="11" customWidth="1"/>
    <col min="4866" max="4866" width="31.42578125" customWidth="1"/>
    <col min="4867" max="4867" width="8.5703125" customWidth="1"/>
    <col min="4868" max="4868" width="8.7109375" customWidth="1"/>
    <col min="4869" max="4869" width="11.7109375" customWidth="1"/>
    <col min="4870" max="4870" width="10.28515625" customWidth="1"/>
    <col min="4871" max="4871" width="8.7109375" customWidth="1"/>
    <col min="4872" max="4873" width="14.42578125" customWidth="1"/>
    <col min="4874" max="4876" width="8.7109375" customWidth="1"/>
    <col min="4877" max="4877" width="11" customWidth="1"/>
    <col min="5122" max="5122" width="31.42578125" customWidth="1"/>
    <col min="5123" max="5123" width="8.5703125" customWidth="1"/>
    <col min="5124" max="5124" width="8.7109375" customWidth="1"/>
    <col min="5125" max="5125" width="11.7109375" customWidth="1"/>
    <col min="5126" max="5126" width="10.28515625" customWidth="1"/>
    <col min="5127" max="5127" width="8.7109375" customWidth="1"/>
    <col min="5128" max="5129" width="14.42578125" customWidth="1"/>
    <col min="5130" max="5132" width="8.7109375" customWidth="1"/>
    <col min="5133" max="5133" width="11" customWidth="1"/>
    <col min="5378" max="5378" width="31.42578125" customWidth="1"/>
    <col min="5379" max="5379" width="8.5703125" customWidth="1"/>
    <col min="5380" max="5380" width="8.7109375" customWidth="1"/>
    <col min="5381" max="5381" width="11.7109375" customWidth="1"/>
    <col min="5382" max="5382" width="10.28515625" customWidth="1"/>
    <col min="5383" max="5383" width="8.7109375" customWidth="1"/>
    <col min="5384" max="5385" width="14.42578125" customWidth="1"/>
    <col min="5386" max="5388" width="8.7109375" customWidth="1"/>
    <col min="5389" max="5389" width="11" customWidth="1"/>
    <col min="5634" max="5634" width="31.42578125" customWidth="1"/>
    <col min="5635" max="5635" width="8.5703125" customWidth="1"/>
    <col min="5636" max="5636" width="8.7109375" customWidth="1"/>
    <col min="5637" max="5637" width="11.7109375" customWidth="1"/>
    <col min="5638" max="5638" width="10.28515625" customWidth="1"/>
    <col min="5639" max="5639" width="8.7109375" customWidth="1"/>
    <col min="5640" max="5641" width="14.42578125" customWidth="1"/>
    <col min="5642" max="5644" width="8.7109375" customWidth="1"/>
    <col min="5645" max="5645" width="11" customWidth="1"/>
    <col min="5890" max="5890" width="31.42578125" customWidth="1"/>
    <col min="5891" max="5891" width="8.5703125" customWidth="1"/>
    <col min="5892" max="5892" width="8.7109375" customWidth="1"/>
    <col min="5893" max="5893" width="11.7109375" customWidth="1"/>
    <col min="5894" max="5894" width="10.28515625" customWidth="1"/>
    <col min="5895" max="5895" width="8.7109375" customWidth="1"/>
    <col min="5896" max="5897" width="14.42578125" customWidth="1"/>
    <col min="5898" max="5900" width="8.7109375" customWidth="1"/>
    <col min="5901" max="5901" width="11" customWidth="1"/>
    <col min="6146" max="6146" width="31.42578125" customWidth="1"/>
    <col min="6147" max="6147" width="8.5703125" customWidth="1"/>
    <col min="6148" max="6148" width="8.7109375" customWidth="1"/>
    <col min="6149" max="6149" width="11.7109375" customWidth="1"/>
    <col min="6150" max="6150" width="10.28515625" customWidth="1"/>
    <col min="6151" max="6151" width="8.7109375" customWidth="1"/>
    <col min="6152" max="6153" width="14.42578125" customWidth="1"/>
    <col min="6154" max="6156" width="8.7109375" customWidth="1"/>
    <col min="6157" max="6157" width="11" customWidth="1"/>
    <col min="6402" max="6402" width="31.42578125" customWidth="1"/>
    <col min="6403" max="6403" width="8.5703125" customWidth="1"/>
    <col min="6404" max="6404" width="8.7109375" customWidth="1"/>
    <col min="6405" max="6405" width="11.7109375" customWidth="1"/>
    <col min="6406" max="6406" width="10.28515625" customWidth="1"/>
    <col min="6407" max="6407" width="8.7109375" customWidth="1"/>
    <col min="6408" max="6409" width="14.42578125" customWidth="1"/>
    <col min="6410" max="6412" width="8.7109375" customWidth="1"/>
    <col min="6413" max="6413" width="11" customWidth="1"/>
    <col min="6658" max="6658" width="31.42578125" customWidth="1"/>
    <col min="6659" max="6659" width="8.5703125" customWidth="1"/>
    <col min="6660" max="6660" width="8.7109375" customWidth="1"/>
    <col min="6661" max="6661" width="11.7109375" customWidth="1"/>
    <col min="6662" max="6662" width="10.28515625" customWidth="1"/>
    <col min="6663" max="6663" width="8.7109375" customWidth="1"/>
    <col min="6664" max="6665" width="14.42578125" customWidth="1"/>
    <col min="6666" max="6668" width="8.7109375" customWidth="1"/>
    <col min="6669" max="6669" width="11" customWidth="1"/>
    <col min="6914" max="6914" width="31.42578125" customWidth="1"/>
    <col min="6915" max="6915" width="8.5703125" customWidth="1"/>
    <col min="6916" max="6916" width="8.7109375" customWidth="1"/>
    <col min="6917" max="6917" width="11.7109375" customWidth="1"/>
    <col min="6918" max="6918" width="10.28515625" customWidth="1"/>
    <col min="6919" max="6919" width="8.7109375" customWidth="1"/>
    <col min="6920" max="6921" width="14.42578125" customWidth="1"/>
    <col min="6922" max="6924" width="8.7109375" customWidth="1"/>
    <col min="6925" max="6925" width="11" customWidth="1"/>
    <col min="7170" max="7170" width="31.42578125" customWidth="1"/>
    <col min="7171" max="7171" width="8.5703125" customWidth="1"/>
    <col min="7172" max="7172" width="8.7109375" customWidth="1"/>
    <col min="7173" max="7173" width="11.7109375" customWidth="1"/>
    <col min="7174" max="7174" width="10.28515625" customWidth="1"/>
    <col min="7175" max="7175" width="8.7109375" customWidth="1"/>
    <col min="7176" max="7177" width="14.42578125" customWidth="1"/>
    <col min="7178" max="7180" width="8.7109375" customWidth="1"/>
    <col min="7181" max="7181" width="11" customWidth="1"/>
    <col min="7426" max="7426" width="31.42578125" customWidth="1"/>
    <col min="7427" max="7427" width="8.5703125" customWidth="1"/>
    <col min="7428" max="7428" width="8.7109375" customWidth="1"/>
    <col min="7429" max="7429" width="11.7109375" customWidth="1"/>
    <col min="7430" max="7430" width="10.28515625" customWidth="1"/>
    <col min="7431" max="7431" width="8.7109375" customWidth="1"/>
    <col min="7432" max="7433" width="14.42578125" customWidth="1"/>
    <col min="7434" max="7436" width="8.7109375" customWidth="1"/>
    <col min="7437" max="7437" width="11" customWidth="1"/>
    <col min="7682" max="7682" width="31.42578125" customWidth="1"/>
    <col min="7683" max="7683" width="8.5703125" customWidth="1"/>
    <col min="7684" max="7684" width="8.7109375" customWidth="1"/>
    <col min="7685" max="7685" width="11.7109375" customWidth="1"/>
    <col min="7686" max="7686" width="10.28515625" customWidth="1"/>
    <col min="7687" max="7687" width="8.7109375" customWidth="1"/>
    <col min="7688" max="7689" width="14.42578125" customWidth="1"/>
    <col min="7690" max="7692" width="8.7109375" customWidth="1"/>
    <col min="7693" max="7693" width="11" customWidth="1"/>
    <col min="7938" max="7938" width="31.42578125" customWidth="1"/>
    <col min="7939" max="7939" width="8.5703125" customWidth="1"/>
    <col min="7940" max="7940" width="8.7109375" customWidth="1"/>
    <col min="7941" max="7941" width="11.7109375" customWidth="1"/>
    <col min="7942" max="7942" width="10.28515625" customWidth="1"/>
    <col min="7943" max="7943" width="8.7109375" customWidth="1"/>
    <col min="7944" max="7945" width="14.42578125" customWidth="1"/>
    <col min="7946" max="7948" width="8.7109375" customWidth="1"/>
    <col min="7949" max="7949" width="11" customWidth="1"/>
    <col min="8194" max="8194" width="31.42578125" customWidth="1"/>
    <col min="8195" max="8195" width="8.5703125" customWidth="1"/>
    <col min="8196" max="8196" width="8.7109375" customWidth="1"/>
    <col min="8197" max="8197" width="11.7109375" customWidth="1"/>
    <col min="8198" max="8198" width="10.28515625" customWidth="1"/>
    <col min="8199" max="8199" width="8.7109375" customWidth="1"/>
    <col min="8200" max="8201" width="14.42578125" customWidth="1"/>
    <col min="8202" max="8204" width="8.7109375" customWidth="1"/>
    <col min="8205" max="8205" width="11" customWidth="1"/>
    <col min="8450" max="8450" width="31.42578125" customWidth="1"/>
    <col min="8451" max="8451" width="8.5703125" customWidth="1"/>
    <col min="8452" max="8452" width="8.7109375" customWidth="1"/>
    <col min="8453" max="8453" width="11.7109375" customWidth="1"/>
    <col min="8454" max="8454" width="10.28515625" customWidth="1"/>
    <col min="8455" max="8455" width="8.7109375" customWidth="1"/>
    <col min="8456" max="8457" width="14.42578125" customWidth="1"/>
    <col min="8458" max="8460" width="8.7109375" customWidth="1"/>
    <col min="8461" max="8461" width="11" customWidth="1"/>
    <col min="8706" max="8706" width="31.42578125" customWidth="1"/>
    <col min="8707" max="8707" width="8.5703125" customWidth="1"/>
    <col min="8708" max="8708" width="8.7109375" customWidth="1"/>
    <col min="8709" max="8709" width="11.7109375" customWidth="1"/>
    <col min="8710" max="8710" width="10.28515625" customWidth="1"/>
    <col min="8711" max="8711" width="8.7109375" customWidth="1"/>
    <col min="8712" max="8713" width="14.42578125" customWidth="1"/>
    <col min="8714" max="8716" width="8.7109375" customWidth="1"/>
    <col min="8717" max="8717" width="11" customWidth="1"/>
    <col min="8962" max="8962" width="31.42578125" customWidth="1"/>
    <col min="8963" max="8963" width="8.5703125" customWidth="1"/>
    <col min="8964" max="8964" width="8.7109375" customWidth="1"/>
    <col min="8965" max="8965" width="11.7109375" customWidth="1"/>
    <col min="8966" max="8966" width="10.28515625" customWidth="1"/>
    <col min="8967" max="8967" width="8.7109375" customWidth="1"/>
    <col min="8968" max="8969" width="14.42578125" customWidth="1"/>
    <col min="8970" max="8972" width="8.7109375" customWidth="1"/>
    <col min="8973" max="8973" width="11" customWidth="1"/>
    <col min="9218" max="9218" width="31.42578125" customWidth="1"/>
    <col min="9219" max="9219" width="8.5703125" customWidth="1"/>
    <col min="9220" max="9220" width="8.7109375" customWidth="1"/>
    <col min="9221" max="9221" width="11.7109375" customWidth="1"/>
    <col min="9222" max="9222" width="10.28515625" customWidth="1"/>
    <col min="9223" max="9223" width="8.7109375" customWidth="1"/>
    <col min="9224" max="9225" width="14.42578125" customWidth="1"/>
    <col min="9226" max="9228" width="8.7109375" customWidth="1"/>
    <col min="9229" max="9229" width="11" customWidth="1"/>
    <col min="9474" max="9474" width="31.42578125" customWidth="1"/>
    <col min="9475" max="9475" width="8.5703125" customWidth="1"/>
    <col min="9476" max="9476" width="8.7109375" customWidth="1"/>
    <col min="9477" max="9477" width="11.7109375" customWidth="1"/>
    <col min="9478" max="9478" width="10.28515625" customWidth="1"/>
    <col min="9479" max="9479" width="8.7109375" customWidth="1"/>
    <col min="9480" max="9481" width="14.42578125" customWidth="1"/>
    <col min="9482" max="9484" width="8.7109375" customWidth="1"/>
    <col min="9485" max="9485" width="11" customWidth="1"/>
    <col min="9730" max="9730" width="31.42578125" customWidth="1"/>
    <col min="9731" max="9731" width="8.5703125" customWidth="1"/>
    <col min="9732" max="9732" width="8.7109375" customWidth="1"/>
    <col min="9733" max="9733" width="11.7109375" customWidth="1"/>
    <col min="9734" max="9734" width="10.28515625" customWidth="1"/>
    <col min="9735" max="9735" width="8.7109375" customWidth="1"/>
    <col min="9736" max="9737" width="14.42578125" customWidth="1"/>
    <col min="9738" max="9740" width="8.7109375" customWidth="1"/>
    <col min="9741" max="9741" width="11" customWidth="1"/>
    <col min="9986" max="9986" width="31.42578125" customWidth="1"/>
    <col min="9987" max="9987" width="8.5703125" customWidth="1"/>
    <col min="9988" max="9988" width="8.7109375" customWidth="1"/>
    <col min="9989" max="9989" width="11.7109375" customWidth="1"/>
    <col min="9990" max="9990" width="10.28515625" customWidth="1"/>
    <col min="9991" max="9991" width="8.7109375" customWidth="1"/>
    <col min="9992" max="9993" width="14.42578125" customWidth="1"/>
    <col min="9994" max="9996" width="8.7109375" customWidth="1"/>
    <col min="9997" max="9997" width="11" customWidth="1"/>
    <col min="10242" max="10242" width="31.42578125" customWidth="1"/>
    <col min="10243" max="10243" width="8.5703125" customWidth="1"/>
    <col min="10244" max="10244" width="8.7109375" customWidth="1"/>
    <col min="10245" max="10245" width="11.7109375" customWidth="1"/>
    <col min="10246" max="10246" width="10.28515625" customWidth="1"/>
    <col min="10247" max="10247" width="8.7109375" customWidth="1"/>
    <col min="10248" max="10249" width="14.42578125" customWidth="1"/>
    <col min="10250" max="10252" width="8.7109375" customWidth="1"/>
    <col min="10253" max="10253" width="11" customWidth="1"/>
    <col min="10498" max="10498" width="31.42578125" customWidth="1"/>
    <col min="10499" max="10499" width="8.5703125" customWidth="1"/>
    <col min="10500" max="10500" width="8.7109375" customWidth="1"/>
    <col min="10501" max="10501" width="11.7109375" customWidth="1"/>
    <col min="10502" max="10502" width="10.28515625" customWidth="1"/>
    <col min="10503" max="10503" width="8.7109375" customWidth="1"/>
    <col min="10504" max="10505" width="14.42578125" customWidth="1"/>
    <col min="10506" max="10508" width="8.7109375" customWidth="1"/>
    <col min="10509" max="10509" width="11" customWidth="1"/>
    <col min="10754" max="10754" width="31.42578125" customWidth="1"/>
    <col min="10755" max="10755" width="8.5703125" customWidth="1"/>
    <col min="10756" max="10756" width="8.7109375" customWidth="1"/>
    <col min="10757" max="10757" width="11.7109375" customWidth="1"/>
    <col min="10758" max="10758" width="10.28515625" customWidth="1"/>
    <col min="10759" max="10759" width="8.7109375" customWidth="1"/>
    <col min="10760" max="10761" width="14.42578125" customWidth="1"/>
    <col min="10762" max="10764" width="8.7109375" customWidth="1"/>
    <col min="10765" max="10765" width="11" customWidth="1"/>
    <col min="11010" max="11010" width="31.42578125" customWidth="1"/>
    <col min="11011" max="11011" width="8.5703125" customWidth="1"/>
    <col min="11012" max="11012" width="8.7109375" customWidth="1"/>
    <col min="11013" max="11013" width="11.7109375" customWidth="1"/>
    <col min="11014" max="11014" width="10.28515625" customWidth="1"/>
    <col min="11015" max="11015" width="8.7109375" customWidth="1"/>
    <col min="11016" max="11017" width="14.42578125" customWidth="1"/>
    <col min="11018" max="11020" width="8.7109375" customWidth="1"/>
    <col min="11021" max="11021" width="11" customWidth="1"/>
    <col min="11266" max="11266" width="31.42578125" customWidth="1"/>
    <col min="11267" max="11267" width="8.5703125" customWidth="1"/>
    <col min="11268" max="11268" width="8.7109375" customWidth="1"/>
    <col min="11269" max="11269" width="11.7109375" customWidth="1"/>
    <col min="11270" max="11270" width="10.28515625" customWidth="1"/>
    <col min="11271" max="11271" width="8.7109375" customWidth="1"/>
    <col min="11272" max="11273" width="14.42578125" customWidth="1"/>
    <col min="11274" max="11276" width="8.7109375" customWidth="1"/>
    <col min="11277" max="11277" width="11" customWidth="1"/>
    <col min="11522" max="11522" width="31.42578125" customWidth="1"/>
    <col min="11523" max="11523" width="8.5703125" customWidth="1"/>
    <col min="11524" max="11524" width="8.7109375" customWidth="1"/>
    <col min="11525" max="11525" width="11.7109375" customWidth="1"/>
    <col min="11526" max="11526" width="10.28515625" customWidth="1"/>
    <col min="11527" max="11527" width="8.7109375" customWidth="1"/>
    <col min="11528" max="11529" width="14.42578125" customWidth="1"/>
    <col min="11530" max="11532" width="8.7109375" customWidth="1"/>
    <col min="11533" max="11533" width="11" customWidth="1"/>
    <col min="11778" max="11778" width="31.42578125" customWidth="1"/>
    <col min="11779" max="11779" width="8.5703125" customWidth="1"/>
    <col min="11780" max="11780" width="8.7109375" customWidth="1"/>
    <col min="11781" max="11781" width="11.7109375" customWidth="1"/>
    <col min="11782" max="11782" width="10.28515625" customWidth="1"/>
    <col min="11783" max="11783" width="8.7109375" customWidth="1"/>
    <col min="11784" max="11785" width="14.42578125" customWidth="1"/>
    <col min="11786" max="11788" width="8.7109375" customWidth="1"/>
    <col min="11789" max="11789" width="11" customWidth="1"/>
    <col min="12034" max="12034" width="31.42578125" customWidth="1"/>
    <col min="12035" max="12035" width="8.5703125" customWidth="1"/>
    <col min="12036" max="12036" width="8.7109375" customWidth="1"/>
    <col min="12037" max="12037" width="11.7109375" customWidth="1"/>
    <col min="12038" max="12038" width="10.28515625" customWidth="1"/>
    <col min="12039" max="12039" width="8.7109375" customWidth="1"/>
    <col min="12040" max="12041" width="14.42578125" customWidth="1"/>
    <col min="12042" max="12044" width="8.7109375" customWidth="1"/>
    <col min="12045" max="12045" width="11" customWidth="1"/>
    <col min="12290" max="12290" width="31.42578125" customWidth="1"/>
    <col min="12291" max="12291" width="8.5703125" customWidth="1"/>
    <col min="12292" max="12292" width="8.7109375" customWidth="1"/>
    <col min="12293" max="12293" width="11.7109375" customWidth="1"/>
    <col min="12294" max="12294" width="10.28515625" customWidth="1"/>
    <col min="12295" max="12295" width="8.7109375" customWidth="1"/>
    <col min="12296" max="12297" width="14.42578125" customWidth="1"/>
    <col min="12298" max="12300" width="8.7109375" customWidth="1"/>
    <col min="12301" max="12301" width="11" customWidth="1"/>
    <col min="12546" max="12546" width="31.42578125" customWidth="1"/>
    <col min="12547" max="12547" width="8.5703125" customWidth="1"/>
    <col min="12548" max="12548" width="8.7109375" customWidth="1"/>
    <col min="12549" max="12549" width="11.7109375" customWidth="1"/>
    <col min="12550" max="12550" width="10.28515625" customWidth="1"/>
    <col min="12551" max="12551" width="8.7109375" customWidth="1"/>
    <col min="12552" max="12553" width="14.42578125" customWidth="1"/>
    <col min="12554" max="12556" width="8.7109375" customWidth="1"/>
    <col min="12557" max="12557" width="11" customWidth="1"/>
    <col min="12802" max="12802" width="31.42578125" customWidth="1"/>
    <col min="12803" max="12803" width="8.5703125" customWidth="1"/>
    <col min="12804" max="12804" width="8.7109375" customWidth="1"/>
    <col min="12805" max="12805" width="11.7109375" customWidth="1"/>
    <col min="12806" max="12806" width="10.28515625" customWidth="1"/>
    <col min="12807" max="12807" width="8.7109375" customWidth="1"/>
    <col min="12808" max="12809" width="14.42578125" customWidth="1"/>
    <col min="12810" max="12812" width="8.7109375" customWidth="1"/>
    <col min="12813" max="12813" width="11" customWidth="1"/>
    <col min="13058" max="13058" width="31.42578125" customWidth="1"/>
    <col min="13059" max="13059" width="8.5703125" customWidth="1"/>
    <col min="13060" max="13060" width="8.7109375" customWidth="1"/>
    <col min="13061" max="13061" width="11.7109375" customWidth="1"/>
    <col min="13062" max="13062" width="10.28515625" customWidth="1"/>
    <col min="13063" max="13063" width="8.7109375" customWidth="1"/>
    <col min="13064" max="13065" width="14.42578125" customWidth="1"/>
    <col min="13066" max="13068" width="8.7109375" customWidth="1"/>
    <col min="13069" max="13069" width="11" customWidth="1"/>
    <col min="13314" max="13314" width="31.42578125" customWidth="1"/>
    <col min="13315" max="13315" width="8.5703125" customWidth="1"/>
    <col min="13316" max="13316" width="8.7109375" customWidth="1"/>
    <col min="13317" max="13317" width="11.7109375" customWidth="1"/>
    <col min="13318" max="13318" width="10.28515625" customWidth="1"/>
    <col min="13319" max="13319" width="8.7109375" customWidth="1"/>
    <col min="13320" max="13321" width="14.42578125" customWidth="1"/>
    <col min="13322" max="13324" width="8.7109375" customWidth="1"/>
    <col min="13325" max="13325" width="11" customWidth="1"/>
    <col min="13570" max="13570" width="31.42578125" customWidth="1"/>
    <col min="13571" max="13571" width="8.5703125" customWidth="1"/>
    <col min="13572" max="13572" width="8.7109375" customWidth="1"/>
    <col min="13573" max="13573" width="11.7109375" customWidth="1"/>
    <col min="13574" max="13574" width="10.28515625" customWidth="1"/>
    <col min="13575" max="13575" width="8.7109375" customWidth="1"/>
    <col min="13576" max="13577" width="14.42578125" customWidth="1"/>
    <col min="13578" max="13580" width="8.7109375" customWidth="1"/>
    <col min="13581" max="13581" width="11" customWidth="1"/>
    <col min="13826" max="13826" width="31.42578125" customWidth="1"/>
    <col min="13827" max="13827" width="8.5703125" customWidth="1"/>
    <col min="13828" max="13828" width="8.7109375" customWidth="1"/>
    <col min="13829" max="13829" width="11.7109375" customWidth="1"/>
    <col min="13830" max="13830" width="10.28515625" customWidth="1"/>
    <col min="13831" max="13831" width="8.7109375" customWidth="1"/>
    <col min="13832" max="13833" width="14.42578125" customWidth="1"/>
    <col min="13834" max="13836" width="8.7109375" customWidth="1"/>
    <col min="13837" max="13837" width="11" customWidth="1"/>
    <col min="14082" max="14082" width="31.42578125" customWidth="1"/>
    <col min="14083" max="14083" width="8.5703125" customWidth="1"/>
    <col min="14084" max="14084" width="8.7109375" customWidth="1"/>
    <col min="14085" max="14085" width="11.7109375" customWidth="1"/>
    <col min="14086" max="14086" width="10.28515625" customWidth="1"/>
    <col min="14087" max="14087" width="8.7109375" customWidth="1"/>
    <col min="14088" max="14089" width="14.42578125" customWidth="1"/>
    <col min="14090" max="14092" width="8.7109375" customWidth="1"/>
    <col min="14093" max="14093" width="11" customWidth="1"/>
    <col min="14338" max="14338" width="31.42578125" customWidth="1"/>
    <col min="14339" max="14339" width="8.5703125" customWidth="1"/>
    <col min="14340" max="14340" width="8.7109375" customWidth="1"/>
    <col min="14341" max="14341" width="11.7109375" customWidth="1"/>
    <col min="14342" max="14342" width="10.28515625" customWidth="1"/>
    <col min="14343" max="14343" width="8.7109375" customWidth="1"/>
    <col min="14344" max="14345" width="14.42578125" customWidth="1"/>
    <col min="14346" max="14348" width="8.7109375" customWidth="1"/>
    <col min="14349" max="14349" width="11" customWidth="1"/>
    <col min="14594" max="14594" width="31.42578125" customWidth="1"/>
    <col min="14595" max="14595" width="8.5703125" customWidth="1"/>
    <col min="14596" max="14596" width="8.7109375" customWidth="1"/>
    <col min="14597" max="14597" width="11.7109375" customWidth="1"/>
    <col min="14598" max="14598" width="10.28515625" customWidth="1"/>
    <col min="14599" max="14599" width="8.7109375" customWidth="1"/>
    <col min="14600" max="14601" width="14.42578125" customWidth="1"/>
    <col min="14602" max="14604" width="8.7109375" customWidth="1"/>
    <col min="14605" max="14605" width="11" customWidth="1"/>
    <col min="14850" max="14850" width="31.42578125" customWidth="1"/>
    <col min="14851" max="14851" width="8.5703125" customWidth="1"/>
    <col min="14852" max="14852" width="8.7109375" customWidth="1"/>
    <col min="14853" max="14853" width="11.7109375" customWidth="1"/>
    <col min="14854" max="14854" width="10.28515625" customWidth="1"/>
    <col min="14855" max="14855" width="8.7109375" customWidth="1"/>
    <col min="14856" max="14857" width="14.42578125" customWidth="1"/>
    <col min="14858" max="14860" width="8.7109375" customWidth="1"/>
    <col min="14861" max="14861" width="11" customWidth="1"/>
    <col min="15106" max="15106" width="31.42578125" customWidth="1"/>
    <col min="15107" max="15107" width="8.5703125" customWidth="1"/>
    <col min="15108" max="15108" width="8.7109375" customWidth="1"/>
    <col min="15109" max="15109" width="11.7109375" customWidth="1"/>
    <col min="15110" max="15110" width="10.28515625" customWidth="1"/>
    <col min="15111" max="15111" width="8.7109375" customWidth="1"/>
    <col min="15112" max="15113" width="14.42578125" customWidth="1"/>
    <col min="15114" max="15116" width="8.7109375" customWidth="1"/>
    <col min="15117" max="15117" width="11" customWidth="1"/>
    <col min="15362" max="15362" width="31.42578125" customWidth="1"/>
    <col min="15363" max="15363" width="8.5703125" customWidth="1"/>
    <col min="15364" max="15364" width="8.7109375" customWidth="1"/>
    <col min="15365" max="15365" width="11.7109375" customWidth="1"/>
    <col min="15366" max="15366" width="10.28515625" customWidth="1"/>
    <col min="15367" max="15367" width="8.7109375" customWidth="1"/>
    <col min="15368" max="15369" width="14.42578125" customWidth="1"/>
    <col min="15370" max="15372" width="8.7109375" customWidth="1"/>
    <col min="15373" max="15373" width="11" customWidth="1"/>
    <col min="15618" max="15618" width="31.42578125" customWidth="1"/>
    <col min="15619" max="15619" width="8.5703125" customWidth="1"/>
    <col min="15620" max="15620" width="8.7109375" customWidth="1"/>
    <col min="15621" max="15621" width="11.7109375" customWidth="1"/>
    <col min="15622" max="15622" width="10.28515625" customWidth="1"/>
    <col min="15623" max="15623" width="8.7109375" customWidth="1"/>
    <col min="15624" max="15625" width="14.42578125" customWidth="1"/>
    <col min="15626" max="15628" width="8.7109375" customWidth="1"/>
    <col min="15629" max="15629" width="11" customWidth="1"/>
    <col min="15874" max="15874" width="31.42578125" customWidth="1"/>
    <col min="15875" max="15875" width="8.5703125" customWidth="1"/>
    <col min="15876" max="15876" width="8.7109375" customWidth="1"/>
    <col min="15877" max="15877" width="11.7109375" customWidth="1"/>
    <col min="15878" max="15878" width="10.28515625" customWidth="1"/>
    <col min="15879" max="15879" width="8.7109375" customWidth="1"/>
    <col min="15880" max="15881" width="14.42578125" customWidth="1"/>
    <col min="15882" max="15884" width="8.7109375" customWidth="1"/>
    <col min="15885" max="15885" width="11" customWidth="1"/>
    <col min="16130" max="16130" width="31.42578125" customWidth="1"/>
    <col min="16131" max="16131" width="8.5703125" customWidth="1"/>
    <col min="16132" max="16132" width="8.7109375" customWidth="1"/>
    <col min="16133" max="16133" width="11.7109375" customWidth="1"/>
    <col min="16134" max="16134" width="10.28515625" customWidth="1"/>
    <col min="16135" max="16135" width="8.7109375" customWidth="1"/>
    <col min="16136" max="16137" width="14.42578125" customWidth="1"/>
    <col min="16138" max="16140" width="8.7109375" customWidth="1"/>
    <col min="16141" max="16141" width="11" customWidth="1"/>
  </cols>
  <sheetData>
    <row r="2" spans="2:13" ht="18.75">
      <c r="B2" s="5" t="s">
        <v>608</v>
      </c>
      <c r="F2" s="6"/>
      <c r="J2" s="6"/>
      <c r="L2" s="642"/>
      <c r="M2" s="643"/>
    </row>
    <row r="3" spans="2:13" ht="30.75" thickBot="1">
      <c r="B3" s="7" t="s">
        <v>609</v>
      </c>
    </row>
    <row r="4" spans="2:13">
      <c r="B4" s="8" t="s">
        <v>610</v>
      </c>
      <c r="C4" s="9"/>
      <c r="D4" s="9" t="s">
        <v>611</v>
      </c>
      <c r="E4" s="9" t="s">
        <v>612</v>
      </c>
      <c r="F4" s="9" t="s">
        <v>613</v>
      </c>
      <c r="G4" s="9" t="s">
        <v>611</v>
      </c>
      <c r="H4" s="9" t="s">
        <v>614</v>
      </c>
      <c r="I4" s="9" t="s">
        <v>615</v>
      </c>
      <c r="J4" s="9" t="s">
        <v>613</v>
      </c>
      <c r="K4" s="9" t="s">
        <v>611</v>
      </c>
      <c r="L4" s="9" t="s">
        <v>616</v>
      </c>
      <c r="M4" s="644" t="s">
        <v>617</v>
      </c>
    </row>
    <row r="5" spans="2:13">
      <c r="B5" s="10">
        <v>14</v>
      </c>
      <c r="C5" s="11"/>
      <c r="D5" s="11">
        <v>1.1000000000000001</v>
      </c>
      <c r="E5" s="11">
        <v>10.51</v>
      </c>
      <c r="F5" s="12">
        <v>0.4</v>
      </c>
      <c r="G5" s="11">
        <v>1</v>
      </c>
      <c r="H5" s="623">
        <v>26.5</v>
      </c>
      <c r="I5" s="623">
        <v>25.2</v>
      </c>
      <c r="J5" s="12">
        <v>0.4</v>
      </c>
      <c r="K5" s="11">
        <v>1.43</v>
      </c>
      <c r="L5" s="623">
        <v>2.0699999999999998</v>
      </c>
      <c r="M5" s="624">
        <f>(D5*(E5-E5*F5)+G5*((H5+I5)-(H5+I5)*J5)/2+K5*L5)*1.015</f>
        <v>25.787800499999999</v>
      </c>
    </row>
    <row r="6" spans="2:13">
      <c r="B6" s="10">
        <v>16</v>
      </c>
      <c r="C6" s="11"/>
      <c r="D6" s="11">
        <v>1.1000000000000001</v>
      </c>
      <c r="E6" s="11">
        <v>10.84</v>
      </c>
      <c r="F6" s="12">
        <f>F5</f>
        <v>0.4</v>
      </c>
      <c r="G6" s="11">
        <v>1</v>
      </c>
      <c r="H6" s="623">
        <v>27.31</v>
      </c>
      <c r="I6" s="623">
        <v>25.97</v>
      </c>
      <c r="J6" s="12">
        <f>J5</f>
        <v>0.4</v>
      </c>
      <c r="K6" s="11">
        <v>1.43</v>
      </c>
      <c r="L6" s="623">
        <v>2.2999999999999998</v>
      </c>
      <c r="M6" s="624">
        <f>(D6*(E6-E6*F6)+G6*((H6+I6)-(H6+I6)*J6)/2+K6*L6)*1.015</f>
        <v>26.823810999999996</v>
      </c>
    </row>
    <row r="7" spans="2:13">
      <c r="B7" s="10">
        <v>20</v>
      </c>
      <c r="C7" s="11"/>
      <c r="D7" s="11">
        <v>1.1000000000000001</v>
      </c>
      <c r="E7" s="11">
        <v>13.62</v>
      </c>
      <c r="F7" s="12">
        <f>F6</f>
        <v>0.4</v>
      </c>
      <c r="G7" s="11">
        <v>1</v>
      </c>
      <c r="H7" s="623">
        <v>30.63</v>
      </c>
      <c r="I7" s="623">
        <v>27.15</v>
      </c>
      <c r="J7" s="12">
        <f>J6</f>
        <v>0.4</v>
      </c>
      <c r="K7" s="11">
        <v>1.43</v>
      </c>
      <c r="L7" s="623">
        <v>2.2999999999999998</v>
      </c>
      <c r="M7" s="624">
        <f>(D7*(E7-E7*F7)+G7*((H7+I7)-(H7+I7)*J7)/2+K7*L7)*1.015</f>
        <v>30.056383</v>
      </c>
    </row>
    <row r="8" spans="2:13">
      <c r="B8" s="10">
        <v>25</v>
      </c>
      <c r="C8" s="11"/>
      <c r="D8" s="11">
        <v>1.08</v>
      </c>
      <c r="E8" s="11">
        <v>24.7</v>
      </c>
      <c r="F8" s="12">
        <f>F6</f>
        <v>0.4</v>
      </c>
      <c r="G8" s="11">
        <v>0.9</v>
      </c>
      <c r="H8" s="623">
        <v>52.58</v>
      </c>
      <c r="I8" s="623">
        <v>51.1</v>
      </c>
      <c r="J8" s="12">
        <f>J6</f>
        <v>0.4</v>
      </c>
      <c r="K8" s="11">
        <v>1.25</v>
      </c>
      <c r="L8" s="623">
        <v>2.76</v>
      </c>
      <c r="M8" s="624">
        <f>(D8*(E8-E8*F8)+G8*((H8+I8)-(H8+I8)*J8)/2+K8*L8)*1.015</f>
        <v>48.160938000000002</v>
      </c>
    </row>
    <row r="9" spans="2:13" ht="15.75" thickBot="1">
      <c r="B9" s="13">
        <v>32</v>
      </c>
      <c r="C9" s="14"/>
      <c r="D9" s="14">
        <v>1.08</v>
      </c>
      <c r="E9" s="14">
        <v>40.49</v>
      </c>
      <c r="F9" s="15">
        <f>F8</f>
        <v>0.4</v>
      </c>
      <c r="G9" s="14">
        <v>0.8</v>
      </c>
      <c r="H9" s="645">
        <v>86.1</v>
      </c>
      <c r="I9" s="645">
        <v>84.87</v>
      </c>
      <c r="J9" s="15">
        <f>J8</f>
        <v>0.4</v>
      </c>
      <c r="K9" s="14">
        <v>1.1100000000000001</v>
      </c>
      <c r="L9" s="645">
        <v>3.7374999999999998</v>
      </c>
      <c r="M9" s="646">
        <f>(D9*(E9-E9*F9)+G9*((H9+I9)-(H9+I9)*J9)/2+K9*L9)*1.015</f>
        <v>72.490229174999982</v>
      </c>
    </row>
    <row r="10" spans="2:13">
      <c r="B10" s="7"/>
      <c r="F10" s="6"/>
      <c r="H10" s="642"/>
      <c r="I10" s="642"/>
      <c r="J10" s="6"/>
      <c r="L10" s="642"/>
      <c r="M10" s="647"/>
    </row>
    <row r="11" spans="2:13">
      <c r="B11" s="7"/>
      <c r="F11" s="6"/>
      <c r="H11" s="642"/>
      <c r="I11" s="642"/>
      <c r="J11" s="6"/>
      <c r="L11" s="642"/>
      <c r="M11" s="647"/>
    </row>
    <row r="12" spans="2:13" ht="18.75">
      <c r="B12" s="5" t="s">
        <v>608</v>
      </c>
      <c r="C12" s="17" t="s">
        <v>618</v>
      </c>
      <c r="D12" s="951" t="s">
        <v>619</v>
      </c>
      <c r="E12" s="951"/>
      <c r="F12" s="951"/>
      <c r="G12" s="18"/>
      <c r="J12" s="6"/>
      <c r="L12" s="642"/>
      <c r="M12" s="643"/>
    </row>
    <row r="13" spans="2:13">
      <c r="B13" s="7"/>
    </row>
    <row r="14" spans="2:13" ht="30.75" thickBot="1">
      <c r="B14" s="7" t="s">
        <v>620</v>
      </c>
    </row>
    <row r="15" spans="2:13">
      <c r="B15" s="8" t="s">
        <v>610</v>
      </c>
      <c r="C15" s="9"/>
      <c r="D15" s="9" t="s">
        <v>611</v>
      </c>
      <c r="E15" s="9" t="s">
        <v>612</v>
      </c>
      <c r="F15" s="9" t="s">
        <v>613</v>
      </c>
      <c r="G15" s="9" t="s">
        <v>611</v>
      </c>
      <c r="H15" s="9" t="s">
        <v>614</v>
      </c>
      <c r="I15" s="9" t="s">
        <v>615</v>
      </c>
      <c r="J15" s="9" t="s">
        <v>613</v>
      </c>
      <c r="K15" s="9" t="s">
        <v>611</v>
      </c>
      <c r="L15" s="9" t="s">
        <v>616</v>
      </c>
      <c r="M15" s="644" t="s">
        <v>617</v>
      </c>
    </row>
    <row r="16" spans="2:13">
      <c r="B16" s="10">
        <v>16</v>
      </c>
      <c r="C16" s="11"/>
      <c r="D16" s="11">
        <v>1.1000000000000001</v>
      </c>
      <c r="E16" s="623">
        <v>17.37</v>
      </c>
      <c r="F16" s="12">
        <v>0.45</v>
      </c>
      <c r="G16" s="11">
        <v>1</v>
      </c>
      <c r="H16" s="623">
        <v>34.020000000000003</v>
      </c>
      <c r="I16" s="623">
        <v>26.84</v>
      </c>
      <c r="J16" s="12">
        <v>0.45</v>
      </c>
      <c r="K16" s="11">
        <v>1.43</v>
      </c>
      <c r="L16" s="623">
        <v>1.9800000000000002</v>
      </c>
      <c r="M16" s="624">
        <f t="shared" ref="M16:M22" si="0">(D16*(E16-E16*F16)+G16*((H16+I16)-(H16+I16)*J16)/2+K16*L16)*1.015</f>
        <v>30.527901250000003</v>
      </c>
    </row>
    <row r="17" spans="2:13">
      <c r="B17" s="10">
        <v>20</v>
      </c>
      <c r="C17" s="11"/>
      <c r="D17" s="11">
        <v>1.1000000000000001</v>
      </c>
      <c r="E17" s="623">
        <v>19.440000000000001</v>
      </c>
      <c r="F17" s="12">
        <f>F16</f>
        <v>0.45</v>
      </c>
      <c r="G17" s="11">
        <v>1</v>
      </c>
      <c r="H17" s="623">
        <v>47.74</v>
      </c>
      <c r="I17" s="623">
        <v>36.159999999999997</v>
      </c>
      <c r="J17" s="12">
        <f>J16</f>
        <v>0.45</v>
      </c>
      <c r="K17" s="11">
        <v>1.43</v>
      </c>
      <c r="L17" s="623">
        <v>2.2000000000000002</v>
      </c>
      <c r="M17" s="624">
        <f t="shared" si="0"/>
        <v>38.549395499999996</v>
      </c>
    </row>
    <row r="18" spans="2:13">
      <c r="B18" s="10">
        <v>25</v>
      </c>
      <c r="C18" s="11"/>
      <c r="D18" s="11">
        <v>1.08</v>
      </c>
      <c r="E18" s="623">
        <v>40.06</v>
      </c>
      <c r="F18" s="12">
        <f t="shared" ref="F18:F26" si="1">F17</f>
        <v>0.45</v>
      </c>
      <c r="G18" s="11">
        <v>0.9</v>
      </c>
      <c r="H18" s="623">
        <v>69.14</v>
      </c>
      <c r="I18" s="623">
        <v>58.43</v>
      </c>
      <c r="J18" s="12">
        <f t="shared" ref="J18:J26" si="2">J17</f>
        <v>0.45</v>
      </c>
      <c r="K18" s="11">
        <v>1.25</v>
      </c>
      <c r="L18" s="623">
        <v>2.64</v>
      </c>
      <c r="M18" s="624">
        <f t="shared" si="0"/>
        <v>59.549253224999994</v>
      </c>
    </row>
    <row r="19" spans="2:13">
      <c r="B19" s="10">
        <v>32</v>
      </c>
      <c r="C19" s="11"/>
      <c r="D19" s="11">
        <v>1.08</v>
      </c>
      <c r="E19" s="623">
        <v>50.26</v>
      </c>
      <c r="F19" s="12">
        <f t="shared" si="1"/>
        <v>0.45</v>
      </c>
      <c r="G19" s="11">
        <v>0.8</v>
      </c>
      <c r="H19" s="623">
        <v>116.31</v>
      </c>
      <c r="I19" s="623">
        <v>84.39</v>
      </c>
      <c r="J19" s="12">
        <f t="shared" si="2"/>
        <v>0.45</v>
      </c>
      <c r="K19" s="11">
        <v>1.1100000000000001</v>
      </c>
      <c r="L19" s="623">
        <v>3.5750000000000002</v>
      </c>
      <c r="M19" s="624">
        <f t="shared" si="0"/>
        <v>79.146340349999988</v>
      </c>
    </row>
    <row r="20" spans="2:13">
      <c r="B20" s="10">
        <v>40</v>
      </c>
      <c r="C20" s="11"/>
      <c r="D20" s="11">
        <v>1.08</v>
      </c>
      <c r="E20" s="623">
        <v>118.24</v>
      </c>
      <c r="F20" s="12">
        <f t="shared" si="1"/>
        <v>0.45</v>
      </c>
      <c r="G20" s="11">
        <v>0.6</v>
      </c>
      <c r="H20" s="623">
        <v>185.95</v>
      </c>
      <c r="I20" s="623">
        <v>135.1</v>
      </c>
      <c r="J20" s="12">
        <f t="shared" si="2"/>
        <v>0.45</v>
      </c>
      <c r="K20" s="11">
        <v>1</v>
      </c>
      <c r="L20" s="623">
        <v>4.4219999999999997</v>
      </c>
      <c r="M20" s="624">
        <f t="shared" si="0"/>
        <v>129.54425714999999</v>
      </c>
    </row>
    <row r="21" spans="2:13">
      <c r="B21" s="10">
        <v>50</v>
      </c>
      <c r="C21" s="11"/>
      <c r="D21" s="11">
        <v>1.08</v>
      </c>
      <c r="E21" s="623">
        <v>173.68</v>
      </c>
      <c r="F21" s="12">
        <f t="shared" si="1"/>
        <v>0.45</v>
      </c>
      <c r="G21" s="11">
        <v>0.6</v>
      </c>
      <c r="H21" s="623">
        <v>349.52</v>
      </c>
      <c r="I21" s="623">
        <v>258.75</v>
      </c>
      <c r="J21" s="12">
        <f t="shared" si="2"/>
        <v>0.45</v>
      </c>
      <c r="K21" s="11">
        <v>0.9</v>
      </c>
      <c r="L21" s="623">
        <v>5.3570000000000002</v>
      </c>
      <c r="M21" s="624">
        <f t="shared" si="0"/>
        <v>211.47704654999998</v>
      </c>
    </row>
    <row r="22" spans="2:13">
      <c r="B22" s="10">
        <v>63</v>
      </c>
      <c r="C22" s="11"/>
      <c r="D22" s="11">
        <v>1.08</v>
      </c>
      <c r="E22" s="623">
        <v>301.13</v>
      </c>
      <c r="F22" s="12">
        <f t="shared" si="1"/>
        <v>0.45</v>
      </c>
      <c r="G22" s="11">
        <v>0.6</v>
      </c>
      <c r="H22" s="623">
        <v>540.92999999999995</v>
      </c>
      <c r="I22" s="623">
        <v>423.5</v>
      </c>
      <c r="J22" s="12">
        <f t="shared" si="2"/>
        <v>0.45</v>
      </c>
      <c r="K22" s="11">
        <v>0.8</v>
      </c>
      <c r="L22" s="623">
        <v>7.3150000000000013</v>
      </c>
      <c r="M22" s="624">
        <f t="shared" si="0"/>
        <v>349.01198254999997</v>
      </c>
    </row>
    <row r="23" spans="2:13">
      <c r="B23" s="10">
        <v>75</v>
      </c>
      <c r="C23" s="11"/>
      <c r="D23" s="11">
        <v>1.06</v>
      </c>
      <c r="E23" s="11"/>
      <c r="F23" s="12">
        <f t="shared" si="1"/>
        <v>0.45</v>
      </c>
      <c r="G23" s="11">
        <v>0.6</v>
      </c>
      <c r="H23" s="11"/>
      <c r="I23" s="11"/>
      <c r="J23" s="12">
        <f t="shared" si="2"/>
        <v>0.45</v>
      </c>
      <c r="K23" s="11">
        <v>0.7</v>
      </c>
      <c r="L23" s="623"/>
      <c r="M23" s="624"/>
    </row>
    <row r="24" spans="2:13">
      <c r="B24" s="10">
        <v>90</v>
      </c>
      <c r="C24" s="11"/>
      <c r="D24" s="11">
        <v>1.06</v>
      </c>
      <c r="E24" s="11"/>
      <c r="F24" s="12">
        <f t="shared" si="1"/>
        <v>0.45</v>
      </c>
      <c r="G24" s="11">
        <v>0.6</v>
      </c>
      <c r="H24" s="11"/>
      <c r="I24" s="11"/>
      <c r="J24" s="12">
        <f t="shared" si="2"/>
        <v>0.45</v>
      </c>
      <c r="K24" s="11">
        <v>0.6</v>
      </c>
      <c r="L24" s="623"/>
      <c r="M24" s="624">
        <f>(D24*(E24-E24*F24)+G24*((H24+I24)-(H24+I24)*J24)/2+K24*L24)*1.015</f>
        <v>0</v>
      </c>
    </row>
    <row r="25" spans="2:13">
      <c r="B25" s="10">
        <v>110</v>
      </c>
      <c r="C25" s="11"/>
      <c r="D25" s="11">
        <v>1.06</v>
      </c>
      <c r="E25" s="11"/>
      <c r="F25" s="12">
        <f t="shared" si="1"/>
        <v>0.45</v>
      </c>
      <c r="G25" s="11">
        <v>0.6</v>
      </c>
      <c r="H25" s="11"/>
      <c r="I25" s="11"/>
      <c r="J25" s="12">
        <f t="shared" si="2"/>
        <v>0.45</v>
      </c>
      <c r="K25" s="11">
        <v>0.6</v>
      </c>
      <c r="L25" s="623"/>
      <c r="M25" s="624">
        <f>(D25*(E25-E25*F25)+G25*((H25+I25)-(H25+I25)*J25)/2+K25*L25)*1.015</f>
        <v>0</v>
      </c>
    </row>
    <row r="26" spans="2:13" ht="15.75" thickBot="1">
      <c r="B26" s="13">
        <v>125</v>
      </c>
      <c r="C26" s="14"/>
      <c r="D26" s="14">
        <v>1.06</v>
      </c>
      <c r="E26" s="14"/>
      <c r="F26" s="15">
        <f t="shared" si="1"/>
        <v>0.45</v>
      </c>
      <c r="G26" s="14">
        <v>0.5</v>
      </c>
      <c r="H26" s="14"/>
      <c r="I26" s="14"/>
      <c r="J26" s="15">
        <f t="shared" si="2"/>
        <v>0.45</v>
      </c>
      <c r="K26" s="14">
        <v>0.5</v>
      </c>
      <c r="L26" s="645"/>
      <c r="M26" s="646">
        <f>(D26*(E26-E26*F26)+G26*((H26+I26)-(H26+I26)*J26)/2+K26*L26)*1.015</f>
        <v>0</v>
      </c>
    </row>
    <row r="29" spans="2:13" ht="18.75">
      <c r="B29" s="19" t="s">
        <v>621</v>
      </c>
    </row>
    <row r="31" spans="2:13" ht="15.75" thickBot="1">
      <c r="B31" t="s">
        <v>622</v>
      </c>
    </row>
    <row r="32" spans="2:13">
      <c r="B32" s="20" t="s">
        <v>623</v>
      </c>
      <c r="C32" s="9"/>
      <c r="D32" s="21" t="s">
        <v>611</v>
      </c>
      <c r="E32" s="21" t="s">
        <v>612</v>
      </c>
      <c r="F32" s="21" t="s">
        <v>613</v>
      </c>
      <c r="G32" s="21" t="s">
        <v>611</v>
      </c>
      <c r="H32" s="21" t="s">
        <v>614</v>
      </c>
      <c r="I32" s="21" t="s">
        <v>615</v>
      </c>
      <c r="J32" s="21" t="s">
        <v>613</v>
      </c>
      <c r="K32" s="21" t="s">
        <v>611</v>
      </c>
      <c r="L32" s="21" t="s">
        <v>616</v>
      </c>
      <c r="M32" s="648" t="s">
        <v>617</v>
      </c>
    </row>
    <row r="33" spans="2:13">
      <c r="B33" s="22">
        <v>16</v>
      </c>
      <c r="C33" s="11"/>
      <c r="D33" s="11">
        <v>1.1000000000000001</v>
      </c>
      <c r="E33" s="23">
        <v>15.75</v>
      </c>
      <c r="F33" s="24">
        <v>0.45</v>
      </c>
      <c r="G33" s="23">
        <v>1</v>
      </c>
      <c r="H33" s="23">
        <v>32.5</v>
      </c>
      <c r="I33" s="23">
        <v>23.75</v>
      </c>
      <c r="J33" s="12">
        <v>0.4</v>
      </c>
      <c r="K33" s="11">
        <v>1.43</v>
      </c>
      <c r="L33" s="623">
        <v>2.0699999999999998</v>
      </c>
      <c r="M33" s="624">
        <f>(D33*(E33-E33*F33)+G33*((H33+I33)-(H33+I33)*J33)/2+K33*L33)*1.015</f>
        <v>29.80430775</v>
      </c>
    </row>
    <row r="34" spans="2:13">
      <c r="B34" s="22">
        <v>20</v>
      </c>
      <c r="C34" s="11"/>
      <c r="D34" s="11">
        <v>1.1000000000000001</v>
      </c>
      <c r="E34" s="23">
        <v>21.77</v>
      </c>
      <c r="F34" s="24">
        <f>F33</f>
        <v>0.45</v>
      </c>
      <c r="G34" s="23">
        <v>1</v>
      </c>
      <c r="H34" s="23">
        <v>47.72</v>
      </c>
      <c r="I34" s="23">
        <v>33.159999999999997</v>
      </c>
      <c r="J34" s="12">
        <f>J33</f>
        <v>0.4</v>
      </c>
      <c r="K34" s="11">
        <v>1.43</v>
      </c>
      <c r="L34" s="623">
        <v>2.2999999999999998</v>
      </c>
      <c r="M34" s="624">
        <f>(D34*(E34-E34*F34)+G34*((H34+I34)-(H34+I34)*J34)/2+K34*L34)*1.015</f>
        <v>41.334707749999993</v>
      </c>
    </row>
    <row r="35" spans="2:13">
      <c r="B35" s="22">
        <v>25</v>
      </c>
      <c r="C35" s="11"/>
      <c r="D35" s="11">
        <v>1.08</v>
      </c>
      <c r="E35" s="23">
        <v>39.549999999999997</v>
      </c>
      <c r="F35" s="24">
        <f t="shared" ref="F35:F40" si="3">F34</f>
        <v>0.45</v>
      </c>
      <c r="G35" s="23">
        <v>0.9</v>
      </c>
      <c r="H35" s="23">
        <v>67.849999999999994</v>
      </c>
      <c r="I35" s="23">
        <v>53.21</v>
      </c>
      <c r="J35" s="12">
        <f t="shared" ref="J35:J40" si="4">J34</f>
        <v>0.4</v>
      </c>
      <c r="K35" s="11">
        <v>1.25</v>
      </c>
      <c r="L35" s="623">
        <v>2.76</v>
      </c>
      <c r="M35" s="624">
        <f t="shared" ref="M35:M40" si="5">(D35*(E35-E35*F35)+G35*((H35+I35)-(H35+I35)*J35)/2+K35*L35)*1.015</f>
        <v>60.523333499999993</v>
      </c>
    </row>
    <row r="36" spans="2:13">
      <c r="B36" s="22">
        <v>32</v>
      </c>
      <c r="C36" s="11"/>
      <c r="D36" s="11">
        <v>1.08</v>
      </c>
      <c r="E36" s="23">
        <v>60.03</v>
      </c>
      <c r="F36" s="24">
        <f t="shared" si="3"/>
        <v>0.45</v>
      </c>
      <c r="G36" s="23">
        <v>0.8</v>
      </c>
      <c r="H36" s="23">
        <v>116.25</v>
      </c>
      <c r="I36" s="23">
        <v>98.78</v>
      </c>
      <c r="J36" s="12">
        <f t="shared" si="4"/>
        <v>0.4</v>
      </c>
      <c r="K36" s="11">
        <v>1.1100000000000001</v>
      </c>
      <c r="L36" s="623">
        <v>3.7374999999999998</v>
      </c>
      <c r="M36" s="624">
        <f t="shared" si="5"/>
        <v>92.78484967499999</v>
      </c>
    </row>
    <row r="37" spans="2:13">
      <c r="B37" s="22">
        <v>40</v>
      </c>
      <c r="C37" s="11"/>
      <c r="D37" s="11">
        <v>1.08</v>
      </c>
      <c r="E37" s="23">
        <v>152.74</v>
      </c>
      <c r="F37" s="24">
        <f t="shared" si="3"/>
        <v>0.45</v>
      </c>
      <c r="G37" s="23">
        <v>0.6</v>
      </c>
      <c r="H37" s="23">
        <v>246.14</v>
      </c>
      <c r="I37" s="23">
        <v>163.74</v>
      </c>
      <c r="J37" s="12">
        <f t="shared" si="4"/>
        <v>0.4</v>
      </c>
      <c r="K37" s="11">
        <v>1</v>
      </c>
      <c r="L37" s="623">
        <v>4.6229999999999993</v>
      </c>
      <c r="M37" s="624">
        <f t="shared" si="5"/>
        <v>171.66589439999998</v>
      </c>
    </row>
    <row r="38" spans="2:13">
      <c r="B38" s="22">
        <v>50</v>
      </c>
      <c r="C38" s="11"/>
      <c r="D38" s="11">
        <v>1.08</v>
      </c>
      <c r="E38" s="23">
        <v>201.22</v>
      </c>
      <c r="F38" s="24">
        <f t="shared" si="3"/>
        <v>0.45</v>
      </c>
      <c r="G38" s="23">
        <v>0.6</v>
      </c>
      <c r="H38" s="23">
        <v>603.69000000000005</v>
      </c>
      <c r="I38" s="23">
        <v>435.39</v>
      </c>
      <c r="J38" s="12">
        <f t="shared" si="4"/>
        <v>0.4</v>
      </c>
      <c r="K38" s="11">
        <v>0.9</v>
      </c>
      <c r="L38" s="623">
        <v>5.6004999999999994</v>
      </c>
      <c r="M38" s="624">
        <f t="shared" si="5"/>
        <v>316.27352294999991</v>
      </c>
    </row>
    <row r="39" spans="2:13">
      <c r="B39" s="22">
        <v>63</v>
      </c>
      <c r="C39" s="11"/>
      <c r="D39" s="11">
        <v>1.08</v>
      </c>
      <c r="E39" s="23">
        <v>322.52</v>
      </c>
      <c r="F39" s="24">
        <v>0.45</v>
      </c>
      <c r="G39" s="23">
        <v>0.6</v>
      </c>
      <c r="H39" s="23">
        <v>728.25</v>
      </c>
      <c r="I39" s="23">
        <v>478.07</v>
      </c>
      <c r="J39" s="12">
        <v>0.45</v>
      </c>
      <c r="K39" s="11">
        <v>0.8</v>
      </c>
      <c r="L39" s="623">
        <v>7.6475</v>
      </c>
      <c r="M39" s="624">
        <f t="shared" si="5"/>
        <v>402.68874519999997</v>
      </c>
    </row>
    <row r="40" spans="2:13" ht="15.75" thickBot="1">
      <c r="B40" s="25">
        <v>75</v>
      </c>
      <c r="C40" s="14"/>
      <c r="D40" s="14">
        <v>1.06</v>
      </c>
      <c r="E40" s="26">
        <v>435.3</v>
      </c>
      <c r="F40" s="27">
        <f t="shared" si="3"/>
        <v>0.45</v>
      </c>
      <c r="G40" s="26">
        <v>0.6</v>
      </c>
      <c r="H40" s="26">
        <v>880.21</v>
      </c>
      <c r="I40" s="26">
        <v>698.88</v>
      </c>
      <c r="J40" s="15">
        <f t="shared" si="4"/>
        <v>0.45</v>
      </c>
      <c r="K40" s="14">
        <v>0.7</v>
      </c>
      <c r="L40" s="645">
        <v>8.8779999999999983</v>
      </c>
      <c r="M40" s="646">
        <f t="shared" si="5"/>
        <v>528.35251525000001</v>
      </c>
    </row>
    <row r="43" spans="2:13">
      <c r="E43" s="28" t="s">
        <v>624</v>
      </c>
    </row>
    <row r="44" spans="2:13" ht="15.75" thickBot="1"/>
    <row r="45" spans="2:13">
      <c r="B45" s="29" t="s">
        <v>610</v>
      </c>
      <c r="C45" s="30"/>
      <c r="D45" s="30" t="s">
        <v>611</v>
      </c>
      <c r="E45" s="30" t="s">
        <v>612</v>
      </c>
      <c r="F45" s="30" t="s">
        <v>613</v>
      </c>
      <c r="G45" s="30" t="s">
        <v>611</v>
      </c>
      <c r="H45" s="30" t="s">
        <v>614</v>
      </c>
      <c r="I45" s="30" t="s">
        <v>615</v>
      </c>
      <c r="J45" s="30" t="s">
        <v>613</v>
      </c>
      <c r="K45" s="30" t="s">
        <v>611</v>
      </c>
      <c r="L45" s="30" t="s">
        <v>616</v>
      </c>
      <c r="M45" s="649" t="s">
        <v>617</v>
      </c>
    </row>
    <row r="46" spans="2:13">
      <c r="B46" s="10">
        <v>16</v>
      </c>
      <c r="C46" s="11"/>
      <c r="D46" s="11">
        <v>1.1000000000000001</v>
      </c>
      <c r="E46" s="650">
        <v>5.6</v>
      </c>
      <c r="F46" s="12">
        <v>0.5</v>
      </c>
      <c r="G46" s="11">
        <v>1</v>
      </c>
      <c r="H46" s="650">
        <v>20.3</v>
      </c>
      <c r="I46" s="650">
        <v>15.4</v>
      </c>
      <c r="J46" s="12"/>
      <c r="K46" s="11">
        <v>1.43</v>
      </c>
      <c r="L46" s="623">
        <v>1.9800000000000002</v>
      </c>
      <c r="M46" s="624">
        <f t="shared" ref="M46:M54" si="6">(D46*(E46-E46*F46)+G46*((H46+I46)-(H46+I46)*J46)/2+K46*L46)*1.015</f>
        <v>24.117820999999999</v>
      </c>
    </row>
    <row r="47" spans="2:13">
      <c r="B47" s="10">
        <v>20</v>
      </c>
      <c r="C47" s="11"/>
      <c r="D47" s="11">
        <v>1.1000000000000001</v>
      </c>
      <c r="E47" s="650">
        <v>10.050000000000001</v>
      </c>
      <c r="F47" s="12">
        <v>0.5</v>
      </c>
      <c r="G47" s="11">
        <v>1</v>
      </c>
      <c r="H47" s="650">
        <v>26.3</v>
      </c>
      <c r="I47" s="650">
        <v>20.3</v>
      </c>
      <c r="J47" s="12"/>
      <c r="K47" s="11">
        <v>1.43</v>
      </c>
      <c r="L47" s="623">
        <v>2.2999999999999998</v>
      </c>
      <c r="M47" s="624">
        <f t="shared" si="6"/>
        <v>32.598247499999999</v>
      </c>
    </row>
    <row r="48" spans="2:13">
      <c r="B48" s="10">
        <v>25</v>
      </c>
      <c r="C48" s="11"/>
      <c r="D48" s="11">
        <v>1.08</v>
      </c>
      <c r="E48" s="650">
        <v>17.5</v>
      </c>
      <c r="F48" s="12">
        <v>0.5</v>
      </c>
      <c r="G48" s="11">
        <v>0.9</v>
      </c>
      <c r="H48" s="650">
        <v>42.2</v>
      </c>
      <c r="I48" s="650">
        <v>32.300000000000004</v>
      </c>
      <c r="J48" s="12"/>
      <c r="K48" s="11">
        <v>1.25</v>
      </c>
      <c r="L48" s="623">
        <v>2.76</v>
      </c>
      <c r="M48" s="624">
        <f t="shared" si="6"/>
        <v>47.121375</v>
      </c>
    </row>
    <row r="49" spans="2:13">
      <c r="B49" s="10">
        <v>32</v>
      </c>
      <c r="C49" s="11"/>
      <c r="D49" s="11">
        <v>1.08</v>
      </c>
      <c r="E49" s="650">
        <v>32.799999999999997</v>
      </c>
      <c r="F49" s="12">
        <v>0.5</v>
      </c>
      <c r="G49" s="11">
        <v>0.8</v>
      </c>
      <c r="H49" s="650">
        <v>66.100000000000009</v>
      </c>
      <c r="I49" s="650">
        <v>47.400000000000006</v>
      </c>
      <c r="J49" s="12"/>
      <c r="K49" s="11">
        <v>1.1100000000000001</v>
      </c>
      <c r="L49" s="623">
        <v>3.7374999999999998</v>
      </c>
      <c r="M49" s="624">
        <f t="shared" si="6"/>
        <v>68.269534374999992</v>
      </c>
    </row>
    <row r="50" spans="2:13">
      <c r="B50" s="10">
        <v>40</v>
      </c>
      <c r="C50" s="11"/>
      <c r="D50" s="11">
        <v>1.08</v>
      </c>
      <c r="E50" s="650">
        <v>65</v>
      </c>
      <c r="F50" s="12">
        <v>0.5</v>
      </c>
      <c r="G50" s="11">
        <v>0.6</v>
      </c>
      <c r="H50" s="650">
        <v>114.5</v>
      </c>
      <c r="I50" s="650">
        <v>76.5</v>
      </c>
      <c r="J50" s="12"/>
      <c r="K50" s="11">
        <v>1</v>
      </c>
      <c r="L50" s="623">
        <v>4.6229999999999993</v>
      </c>
      <c r="M50" s="624">
        <f t="shared" si="6"/>
        <v>98.478345000000004</v>
      </c>
    </row>
    <row r="51" spans="2:13">
      <c r="B51" s="10">
        <v>50</v>
      </c>
      <c r="C51" s="11"/>
      <c r="D51" s="11">
        <v>1.08</v>
      </c>
      <c r="E51" s="650">
        <v>92.600000000000009</v>
      </c>
      <c r="F51" s="12">
        <v>0.5</v>
      </c>
      <c r="G51" s="11">
        <v>0.6</v>
      </c>
      <c r="H51" s="650">
        <v>159.5</v>
      </c>
      <c r="I51" s="650">
        <v>105.5</v>
      </c>
      <c r="J51" s="12"/>
      <c r="K51" s="11">
        <v>0.9</v>
      </c>
      <c r="L51" s="623">
        <v>5.6004999999999994</v>
      </c>
      <c r="M51" s="624">
        <f t="shared" si="6"/>
        <v>136.56261674999999</v>
      </c>
    </row>
    <row r="52" spans="2:13">
      <c r="B52" s="10">
        <v>63</v>
      </c>
      <c r="C52" s="11"/>
      <c r="D52" s="11">
        <v>1.08</v>
      </c>
      <c r="E52" s="650">
        <v>127</v>
      </c>
      <c r="F52" s="12">
        <v>0.5</v>
      </c>
      <c r="G52" s="11">
        <v>0.6</v>
      </c>
      <c r="H52" s="650">
        <v>325</v>
      </c>
      <c r="I52" s="650">
        <v>239.5</v>
      </c>
      <c r="J52" s="12"/>
      <c r="K52" s="11">
        <v>0.8</v>
      </c>
      <c r="L52" s="623">
        <v>7.6475</v>
      </c>
      <c r="M52" s="624">
        <f t="shared" si="6"/>
        <v>247.70871999999997</v>
      </c>
    </row>
    <row r="53" spans="2:13">
      <c r="B53" s="10">
        <v>75</v>
      </c>
      <c r="C53" s="11"/>
      <c r="D53" s="11">
        <v>1.06</v>
      </c>
      <c r="E53" s="31">
        <v>197</v>
      </c>
      <c r="F53" s="12">
        <v>0.5</v>
      </c>
      <c r="G53" s="11">
        <v>0.6</v>
      </c>
      <c r="H53" s="650">
        <v>526</v>
      </c>
      <c r="I53" s="650">
        <v>349</v>
      </c>
      <c r="J53" s="12"/>
      <c r="K53" s="11">
        <v>0.7</v>
      </c>
      <c r="L53" s="623">
        <v>8.8779999999999983</v>
      </c>
      <c r="M53" s="624">
        <f t="shared" si="6"/>
        <v>378.72146900000001</v>
      </c>
    </row>
    <row r="54" spans="2:13" ht="15.75" thickBot="1">
      <c r="B54" s="13">
        <v>90</v>
      </c>
      <c r="C54" s="14"/>
      <c r="D54" s="14">
        <v>1.06</v>
      </c>
      <c r="E54" s="32">
        <v>246.5</v>
      </c>
      <c r="F54" s="12">
        <v>0.5</v>
      </c>
      <c r="G54" s="14">
        <v>0.6</v>
      </c>
      <c r="H54" s="651">
        <v>879.5</v>
      </c>
      <c r="I54" s="651">
        <v>583.5</v>
      </c>
      <c r="J54" s="15"/>
      <c r="K54" s="14">
        <v>0.6</v>
      </c>
      <c r="L54" s="645">
        <v>10.419</v>
      </c>
      <c r="M54" s="646">
        <f t="shared" si="6"/>
        <v>584.43334599999991</v>
      </c>
    </row>
    <row r="55" spans="2:13" ht="15.75" thickBot="1">
      <c r="B55" s="33">
        <v>110</v>
      </c>
      <c r="C55" s="34"/>
      <c r="D55" s="34">
        <v>1.06</v>
      </c>
      <c r="E55" s="35">
        <v>311</v>
      </c>
      <c r="F55" s="12">
        <v>0.5</v>
      </c>
      <c r="G55" s="34">
        <v>0.6</v>
      </c>
      <c r="H55" s="651">
        <v>1022.5</v>
      </c>
      <c r="I55" s="651">
        <v>664.5</v>
      </c>
      <c r="J55" s="36"/>
      <c r="K55" s="34">
        <v>0.6</v>
      </c>
      <c r="L55" s="652">
        <v>10.419</v>
      </c>
      <c r="M55" s="653">
        <f>(D55*(E55-E55*F55)+G55*((H55+I55)-(H55+I55)*J55)/2+K55*L55)*1.015</f>
        <v>687.33912099999986</v>
      </c>
    </row>
    <row r="58" spans="2:13" ht="15.75" thickBot="1">
      <c r="B58" t="s">
        <v>625</v>
      </c>
      <c r="C58" t="s">
        <v>14</v>
      </c>
      <c r="E58" s="654">
        <v>45705</v>
      </c>
    </row>
    <row r="59" spans="2:13">
      <c r="B59" s="8" t="s">
        <v>610</v>
      </c>
      <c r="C59" s="9"/>
      <c r="D59" s="9" t="s">
        <v>611</v>
      </c>
      <c r="E59" s="9" t="s">
        <v>612</v>
      </c>
      <c r="F59" s="9" t="s">
        <v>613</v>
      </c>
      <c r="G59" s="9" t="s">
        <v>611</v>
      </c>
      <c r="H59" s="9" t="s">
        <v>614</v>
      </c>
      <c r="I59" s="9" t="s">
        <v>615</v>
      </c>
      <c r="J59" s="9" t="s">
        <v>613</v>
      </c>
      <c r="K59" s="9" t="s">
        <v>611</v>
      </c>
      <c r="L59" s="9" t="s">
        <v>616</v>
      </c>
      <c r="M59" s="644" t="s">
        <v>617</v>
      </c>
    </row>
    <row r="60" spans="2:13">
      <c r="B60" s="10">
        <v>16</v>
      </c>
      <c r="C60" s="11"/>
      <c r="D60" s="11">
        <v>1.1000000000000001</v>
      </c>
      <c r="E60" s="623">
        <v>17.37</v>
      </c>
      <c r="F60" s="12">
        <v>0.45</v>
      </c>
      <c r="G60" s="11">
        <v>1</v>
      </c>
      <c r="H60" s="623"/>
      <c r="I60" s="623"/>
      <c r="J60" s="12">
        <v>0.45</v>
      </c>
      <c r="K60" s="11">
        <v>1.43</v>
      </c>
      <c r="L60" s="623">
        <v>1.9800000000000002</v>
      </c>
      <c r="M60" s="624">
        <f>(D60*(E60-E60*F60)+G60*((H60+I60)-(H60+I60)*J60)/2+K60*L60)*1.015</f>
        <v>13.54035375</v>
      </c>
    </row>
    <row r="61" spans="2:13">
      <c r="B61" s="10">
        <v>20</v>
      </c>
      <c r="C61" s="11"/>
      <c r="D61" s="11">
        <v>1.1000000000000001</v>
      </c>
      <c r="E61" s="623">
        <v>19.440000000000001</v>
      </c>
      <c r="F61" s="12">
        <f>F60</f>
        <v>0.45</v>
      </c>
      <c r="G61" s="11">
        <v>1</v>
      </c>
      <c r="H61" s="623"/>
      <c r="I61" s="623"/>
      <c r="J61" s="12">
        <f>J60</f>
        <v>0.45</v>
      </c>
      <c r="K61" s="11">
        <v>1.43</v>
      </c>
      <c r="L61" s="623">
        <v>2.2000000000000002</v>
      </c>
      <c r="M61" s="624">
        <f>(D61*(E61-E61*F61)+G61*((H61+I61)-(H61+I61)*J61)/2+K61*L61)*1.015</f>
        <v>15.130807999999998</v>
      </c>
    </row>
    <row r="62" spans="2:13">
      <c r="B62" s="10">
        <v>25</v>
      </c>
      <c r="C62" s="11"/>
      <c r="D62" s="11">
        <v>1.08</v>
      </c>
      <c r="E62" s="623">
        <v>40.06</v>
      </c>
      <c r="F62" s="12">
        <f>F61</f>
        <v>0.45</v>
      </c>
      <c r="G62" s="11">
        <v>0.9</v>
      </c>
      <c r="H62" s="623"/>
      <c r="I62" s="623"/>
      <c r="J62" s="12">
        <f>J61</f>
        <v>0.45</v>
      </c>
      <c r="K62" s="11">
        <v>1.25</v>
      </c>
      <c r="L62" s="623">
        <v>2.64</v>
      </c>
      <c r="M62" s="624">
        <f>(D62*(E62-E62*F62)+G62*((H62+I62)-(H62+I62)*J62)/2+K62*L62)*1.015</f>
        <v>27.5020746</v>
      </c>
    </row>
    <row r="63" spans="2:13">
      <c r="B63" s="10">
        <v>32</v>
      </c>
      <c r="C63" s="11"/>
      <c r="D63" s="11">
        <v>1.08</v>
      </c>
      <c r="E63" s="623">
        <v>50.26</v>
      </c>
      <c r="F63" s="12">
        <f>F62</f>
        <v>0.45</v>
      </c>
      <c r="G63" s="11">
        <v>0.8</v>
      </c>
      <c r="H63" s="623"/>
      <c r="I63" s="623"/>
      <c r="J63" s="12">
        <f>J62</f>
        <v>0.45</v>
      </c>
      <c r="K63" s="11">
        <v>1.1100000000000001</v>
      </c>
      <c r="L63" s="623">
        <v>3.5750000000000002</v>
      </c>
      <c r="M63" s="624">
        <f>(D63*(E63-E63*F63)+G63*((H63+I63)-(H63+I63)*J63)/2+K63*L63)*1.015</f>
        <v>34.330030350000001</v>
      </c>
    </row>
    <row r="66" spans="1:13">
      <c r="B66" t="s">
        <v>626</v>
      </c>
    </row>
    <row r="67" spans="1:13">
      <c r="B67" s="8" t="s">
        <v>610</v>
      </c>
      <c r="C67" s="9"/>
      <c r="D67" s="9" t="s">
        <v>611</v>
      </c>
      <c r="E67" s="9" t="s">
        <v>612</v>
      </c>
      <c r="F67" s="9" t="s">
        <v>613</v>
      </c>
      <c r="G67" s="9" t="s">
        <v>611</v>
      </c>
      <c r="H67" s="9" t="s">
        <v>614</v>
      </c>
      <c r="I67" s="9" t="s">
        <v>615</v>
      </c>
      <c r="J67" s="9" t="s">
        <v>613</v>
      </c>
      <c r="K67" s="9" t="s">
        <v>611</v>
      </c>
      <c r="L67" s="9" t="s">
        <v>616</v>
      </c>
      <c r="M67" s="644" t="s">
        <v>617</v>
      </c>
    </row>
    <row r="68" spans="1:13" ht="26.25">
      <c r="A68" s="821" t="s">
        <v>627</v>
      </c>
      <c r="B68" s="10">
        <v>14</v>
      </c>
      <c r="C68" s="11"/>
      <c r="D68" s="11">
        <v>1.1000000000000001</v>
      </c>
      <c r="E68" s="11">
        <v>12.17</v>
      </c>
      <c r="F68" s="12">
        <v>0.5</v>
      </c>
      <c r="G68" s="11">
        <v>1</v>
      </c>
      <c r="H68" s="623">
        <v>26.5</v>
      </c>
      <c r="I68" s="623">
        <v>25.2</v>
      </c>
      <c r="J68" s="12">
        <v>0.5</v>
      </c>
      <c r="K68" s="11">
        <v>1.43</v>
      </c>
      <c r="L68" s="623">
        <v>2.0699999999999998</v>
      </c>
      <c r="M68" s="624">
        <f>(D68*(E68-E68*F68)+G68*((H68+I68)-(H68+I68)*J68)/2+K68*L68)*1.015</f>
        <v>22.917279000000001</v>
      </c>
    </row>
    <row r="69" spans="1:13" ht="23.25" customHeight="1">
      <c r="A69" s="821" t="s">
        <v>627</v>
      </c>
      <c r="B69" s="10">
        <v>16</v>
      </c>
      <c r="C69" s="11"/>
      <c r="D69" s="11">
        <v>1.1000000000000001</v>
      </c>
      <c r="E69" s="11">
        <v>12.36</v>
      </c>
      <c r="F69" s="12">
        <f>F68</f>
        <v>0.5</v>
      </c>
      <c r="G69" s="11">
        <v>1</v>
      </c>
      <c r="H69" s="623">
        <v>27.31</v>
      </c>
      <c r="I69" s="623">
        <v>25.97</v>
      </c>
      <c r="J69" s="12">
        <f>J68</f>
        <v>0.5</v>
      </c>
      <c r="K69" s="11">
        <v>1.43</v>
      </c>
      <c r="L69" s="623">
        <v>2.2999999999999998</v>
      </c>
      <c r="M69" s="624">
        <f>(D69*(E69-E69*F69)+G69*((H69+I69)-(H69+I69)*J69)/2+K69*L69)*1.015</f>
        <v>23.758105</v>
      </c>
    </row>
    <row r="70" spans="1:13" ht="23.25" customHeight="1">
      <c r="A70" s="821" t="s">
        <v>627</v>
      </c>
      <c r="B70" s="10">
        <v>20</v>
      </c>
      <c r="C70" s="11"/>
      <c r="D70" s="11">
        <v>1.1000000000000001</v>
      </c>
      <c r="E70" s="11">
        <v>17.22</v>
      </c>
      <c r="F70" s="12">
        <f>F69</f>
        <v>0.5</v>
      </c>
      <c r="G70" s="11">
        <v>1</v>
      </c>
      <c r="H70" s="623">
        <v>30.63</v>
      </c>
      <c r="I70" s="623">
        <v>27.15</v>
      </c>
      <c r="J70" s="12">
        <f>J69</f>
        <v>0.5</v>
      </c>
      <c r="K70" s="11">
        <v>1.43</v>
      </c>
      <c r="L70" s="623">
        <v>2.2999999999999998</v>
      </c>
      <c r="M70" s="624">
        <f>(D70*(E70-E70*F70)+G70*((H70+I70)-(H70+I70)*J70)/2+K70*L70)*1.015</f>
        <v>27.613074999999995</v>
      </c>
    </row>
    <row r="71" spans="1:13" ht="23.25" customHeight="1">
      <c r="A71" s="821" t="s">
        <v>627</v>
      </c>
      <c r="B71" s="10">
        <v>25</v>
      </c>
      <c r="C71" s="11"/>
      <c r="D71" s="11">
        <v>1.08</v>
      </c>
      <c r="E71" s="11">
        <v>27.37</v>
      </c>
      <c r="F71" s="12">
        <f>F69</f>
        <v>0.5</v>
      </c>
      <c r="G71" s="11">
        <v>0.9</v>
      </c>
      <c r="H71" s="623">
        <v>52.58</v>
      </c>
      <c r="I71" s="623">
        <v>51.1</v>
      </c>
      <c r="J71" s="12">
        <f>J69</f>
        <v>0.5</v>
      </c>
      <c r="K71" s="11">
        <v>1.25</v>
      </c>
      <c r="L71" s="623">
        <v>2.76</v>
      </c>
      <c r="M71" s="624">
        <f>(D71*(E71-E71*F71)+G71*((H71+I71)-(H71+I71)*J71)/2+K71*L71)*1.015</f>
        <v>42.181167000000002</v>
      </c>
    </row>
    <row r="72" spans="1:13" ht="23.25" customHeight="1">
      <c r="A72" s="821" t="s">
        <v>627</v>
      </c>
      <c r="B72" s="13">
        <v>32</v>
      </c>
      <c r="C72" s="14"/>
      <c r="D72" s="14">
        <v>1.08</v>
      </c>
      <c r="E72" s="14">
        <v>38.14</v>
      </c>
      <c r="F72" s="15">
        <f>F71</f>
        <v>0.5</v>
      </c>
      <c r="G72" s="14">
        <v>0.8</v>
      </c>
      <c r="H72" s="645">
        <v>86.1</v>
      </c>
      <c r="I72" s="645">
        <v>84.87</v>
      </c>
      <c r="J72" s="15">
        <f>J71</f>
        <v>0.5</v>
      </c>
      <c r="K72" s="14">
        <v>1.1100000000000001</v>
      </c>
      <c r="L72" s="645">
        <v>3.7374999999999998</v>
      </c>
      <c r="M72" s="646">
        <f>(D72*(E72-E72*F72)+G72*((H72+I72)-(H72+I72)*J72)/2+K72*L72)*1.015</f>
        <v>59.822298375000003</v>
      </c>
    </row>
  </sheetData>
  <mergeCells count="1"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913C-2AE8-4F28-98E4-C9A362AB44B9}">
  <dimension ref="B1:U180"/>
  <sheetViews>
    <sheetView workbookViewId="0">
      <selection activeCell="L11" sqref="L11"/>
    </sheetView>
  </sheetViews>
  <sheetFormatPr defaultRowHeight="15"/>
  <cols>
    <col min="2" max="2" width="25" customWidth="1"/>
    <col min="3" max="3" width="11.42578125" customWidth="1"/>
    <col min="4" max="4" width="8.7109375" customWidth="1"/>
    <col min="5" max="5" width="15.5703125" customWidth="1"/>
    <col min="6" max="6" width="13.7109375" customWidth="1"/>
    <col min="12" max="12" width="11.42578125" customWidth="1"/>
    <col min="16" max="16" width="30.140625" customWidth="1"/>
    <col min="17" max="17" width="11.85546875" customWidth="1"/>
    <col min="18" max="18" width="12.28515625" customWidth="1"/>
    <col min="19" max="19" width="27.7109375" customWidth="1"/>
    <col min="20" max="20" width="12.85546875" customWidth="1"/>
    <col min="21" max="21" width="29.140625" customWidth="1"/>
    <col min="258" max="258" width="25" customWidth="1"/>
    <col min="259" max="259" width="11.42578125" customWidth="1"/>
    <col min="260" max="260" width="8.7109375" customWidth="1"/>
    <col min="261" max="261" width="15.5703125" customWidth="1"/>
    <col min="262" max="262" width="13.7109375" customWidth="1"/>
    <col min="268" max="268" width="11.42578125" customWidth="1"/>
    <col min="272" max="272" width="30.140625" customWidth="1"/>
    <col min="273" max="273" width="11.85546875" customWidth="1"/>
    <col min="274" max="274" width="12.28515625" customWidth="1"/>
    <col min="275" max="275" width="27.7109375" customWidth="1"/>
    <col min="276" max="276" width="12.85546875" customWidth="1"/>
    <col min="277" max="277" width="29.140625" customWidth="1"/>
    <col min="514" max="514" width="25" customWidth="1"/>
    <col min="515" max="515" width="11.42578125" customWidth="1"/>
    <col min="516" max="516" width="8.7109375" customWidth="1"/>
    <col min="517" max="517" width="15.5703125" customWidth="1"/>
    <col min="518" max="518" width="13.7109375" customWidth="1"/>
    <col min="524" max="524" width="11.42578125" customWidth="1"/>
    <col min="528" max="528" width="30.140625" customWidth="1"/>
    <col min="529" max="529" width="11.85546875" customWidth="1"/>
    <col min="530" max="530" width="12.28515625" customWidth="1"/>
    <col min="531" max="531" width="27.7109375" customWidth="1"/>
    <col min="532" max="532" width="12.85546875" customWidth="1"/>
    <col min="533" max="533" width="29.140625" customWidth="1"/>
    <col min="770" max="770" width="25" customWidth="1"/>
    <col min="771" max="771" width="11.42578125" customWidth="1"/>
    <col min="772" max="772" width="8.7109375" customWidth="1"/>
    <col min="773" max="773" width="15.5703125" customWidth="1"/>
    <col min="774" max="774" width="13.7109375" customWidth="1"/>
    <col min="780" max="780" width="11.42578125" customWidth="1"/>
    <col min="784" max="784" width="30.140625" customWidth="1"/>
    <col min="785" max="785" width="11.85546875" customWidth="1"/>
    <col min="786" max="786" width="12.28515625" customWidth="1"/>
    <col min="787" max="787" width="27.7109375" customWidth="1"/>
    <col min="788" max="788" width="12.85546875" customWidth="1"/>
    <col min="789" max="789" width="29.140625" customWidth="1"/>
    <col min="1026" max="1026" width="25" customWidth="1"/>
    <col min="1027" max="1027" width="11.42578125" customWidth="1"/>
    <col min="1028" max="1028" width="8.7109375" customWidth="1"/>
    <col min="1029" max="1029" width="15.5703125" customWidth="1"/>
    <col min="1030" max="1030" width="13.7109375" customWidth="1"/>
    <col min="1036" max="1036" width="11.42578125" customWidth="1"/>
    <col min="1040" max="1040" width="30.140625" customWidth="1"/>
    <col min="1041" max="1041" width="11.85546875" customWidth="1"/>
    <col min="1042" max="1042" width="12.28515625" customWidth="1"/>
    <col min="1043" max="1043" width="27.7109375" customWidth="1"/>
    <col min="1044" max="1044" width="12.85546875" customWidth="1"/>
    <col min="1045" max="1045" width="29.140625" customWidth="1"/>
    <col min="1282" max="1282" width="25" customWidth="1"/>
    <col min="1283" max="1283" width="11.42578125" customWidth="1"/>
    <col min="1284" max="1284" width="8.7109375" customWidth="1"/>
    <col min="1285" max="1285" width="15.5703125" customWidth="1"/>
    <col min="1286" max="1286" width="13.7109375" customWidth="1"/>
    <col min="1292" max="1292" width="11.42578125" customWidth="1"/>
    <col min="1296" max="1296" width="30.140625" customWidth="1"/>
    <col min="1297" max="1297" width="11.85546875" customWidth="1"/>
    <col min="1298" max="1298" width="12.28515625" customWidth="1"/>
    <col min="1299" max="1299" width="27.7109375" customWidth="1"/>
    <col min="1300" max="1300" width="12.85546875" customWidth="1"/>
    <col min="1301" max="1301" width="29.140625" customWidth="1"/>
    <col min="1538" max="1538" width="25" customWidth="1"/>
    <col min="1539" max="1539" width="11.42578125" customWidth="1"/>
    <col min="1540" max="1540" width="8.7109375" customWidth="1"/>
    <col min="1541" max="1541" width="15.5703125" customWidth="1"/>
    <col min="1542" max="1542" width="13.7109375" customWidth="1"/>
    <col min="1548" max="1548" width="11.42578125" customWidth="1"/>
    <col min="1552" max="1552" width="30.140625" customWidth="1"/>
    <col min="1553" max="1553" width="11.85546875" customWidth="1"/>
    <col min="1554" max="1554" width="12.28515625" customWidth="1"/>
    <col min="1555" max="1555" width="27.7109375" customWidth="1"/>
    <col min="1556" max="1556" width="12.85546875" customWidth="1"/>
    <col min="1557" max="1557" width="29.140625" customWidth="1"/>
    <col min="1794" max="1794" width="25" customWidth="1"/>
    <col min="1795" max="1795" width="11.42578125" customWidth="1"/>
    <col min="1796" max="1796" width="8.7109375" customWidth="1"/>
    <col min="1797" max="1797" width="15.5703125" customWidth="1"/>
    <col min="1798" max="1798" width="13.7109375" customWidth="1"/>
    <col min="1804" max="1804" width="11.42578125" customWidth="1"/>
    <col min="1808" max="1808" width="30.140625" customWidth="1"/>
    <col min="1809" max="1809" width="11.85546875" customWidth="1"/>
    <col min="1810" max="1810" width="12.28515625" customWidth="1"/>
    <col min="1811" max="1811" width="27.7109375" customWidth="1"/>
    <col min="1812" max="1812" width="12.85546875" customWidth="1"/>
    <col min="1813" max="1813" width="29.140625" customWidth="1"/>
    <col min="2050" max="2050" width="25" customWidth="1"/>
    <col min="2051" max="2051" width="11.42578125" customWidth="1"/>
    <col min="2052" max="2052" width="8.7109375" customWidth="1"/>
    <col min="2053" max="2053" width="15.5703125" customWidth="1"/>
    <col min="2054" max="2054" width="13.7109375" customWidth="1"/>
    <col min="2060" max="2060" width="11.42578125" customWidth="1"/>
    <col min="2064" max="2064" width="30.140625" customWidth="1"/>
    <col min="2065" max="2065" width="11.85546875" customWidth="1"/>
    <col min="2066" max="2066" width="12.28515625" customWidth="1"/>
    <col min="2067" max="2067" width="27.7109375" customWidth="1"/>
    <col min="2068" max="2068" width="12.85546875" customWidth="1"/>
    <col min="2069" max="2069" width="29.140625" customWidth="1"/>
    <col min="2306" max="2306" width="25" customWidth="1"/>
    <col min="2307" max="2307" width="11.42578125" customWidth="1"/>
    <col min="2308" max="2308" width="8.7109375" customWidth="1"/>
    <col min="2309" max="2309" width="15.5703125" customWidth="1"/>
    <col min="2310" max="2310" width="13.7109375" customWidth="1"/>
    <col min="2316" max="2316" width="11.42578125" customWidth="1"/>
    <col min="2320" max="2320" width="30.140625" customWidth="1"/>
    <col min="2321" max="2321" width="11.85546875" customWidth="1"/>
    <col min="2322" max="2322" width="12.28515625" customWidth="1"/>
    <col min="2323" max="2323" width="27.7109375" customWidth="1"/>
    <col min="2324" max="2324" width="12.85546875" customWidth="1"/>
    <col min="2325" max="2325" width="29.140625" customWidth="1"/>
    <col min="2562" max="2562" width="25" customWidth="1"/>
    <col min="2563" max="2563" width="11.42578125" customWidth="1"/>
    <col min="2564" max="2564" width="8.7109375" customWidth="1"/>
    <col min="2565" max="2565" width="15.5703125" customWidth="1"/>
    <col min="2566" max="2566" width="13.7109375" customWidth="1"/>
    <col min="2572" max="2572" width="11.42578125" customWidth="1"/>
    <col min="2576" max="2576" width="30.140625" customWidth="1"/>
    <col min="2577" max="2577" width="11.85546875" customWidth="1"/>
    <col min="2578" max="2578" width="12.28515625" customWidth="1"/>
    <col min="2579" max="2579" width="27.7109375" customWidth="1"/>
    <col min="2580" max="2580" width="12.85546875" customWidth="1"/>
    <col min="2581" max="2581" width="29.140625" customWidth="1"/>
    <col min="2818" max="2818" width="25" customWidth="1"/>
    <col min="2819" max="2819" width="11.42578125" customWidth="1"/>
    <col min="2820" max="2820" width="8.7109375" customWidth="1"/>
    <col min="2821" max="2821" width="15.5703125" customWidth="1"/>
    <col min="2822" max="2822" width="13.7109375" customWidth="1"/>
    <col min="2828" max="2828" width="11.42578125" customWidth="1"/>
    <col min="2832" max="2832" width="30.140625" customWidth="1"/>
    <col min="2833" max="2833" width="11.85546875" customWidth="1"/>
    <col min="2834" max="2834" width="12.28515625" customWidth="1"/>
    <col min="2835" max="2835" width="27.7109375" customWidth="1"/>
    <col min="2836" max="2836" width="12.85546875" customWidth="1"/>
    <col min="2837" max="2837" width="29.140625" customWidth="1"/>
    <col min="3074" max="3074" width="25" customWidth="1"/>
    <col min="3075" max="3075" width="11.42578125" customWidth="1"/>
    <col min="3076" max="3076" width="8.7109375" customWidth="1"/>
    <col min="3077" max="3077" width="15.5703125" customWidth="1"/>
    <col min="3078" max="3078" width="13.7109375" customWidth="1"/>
    <col min="3084" max="3084" width="11.42578125" customWidth="1"/>
    <col min="3088" max="3088" width="30.140625" customWidth="1"/>
    <col min="3089" max="3089" width="11.85546875" customWidth="1"/>
    <col min="3090" max="3090" width="12.28515625" customWidth="1"/>
    <col min="3091" max="3091" width="27.7109375" customWidth="1"/>
    <col min="3092" max="3092" width="12.85546875" customWidth="1"/>
    <col min="3093" max="3093" width="29.140625" customWidth="1"/>
    <col min="3330" max="3330" width="25" customWidth="1"/>
    <col min="3331" max="3331" width="11.42578125" customWidth="1"/>
    <col min="3332" max="3332" width="8.7109375" customWidth="1"/>
    <col min="3333" max="3333" width="15.5703125" customWidth="1"/>
    <col min="3334" max="3334" width="13.7109375" customWidth="1"/>
    <col min="3340" max="3340" width="11.42578125" customWidth="1"/>
    <col min="3344" max="3344" width="30.140625" customWidth="1"/>
    <col min="3345" max="3345" width="11.85546875" customWidth="1"/>
    <col min="3346" max="3346" width="12.28515625" customWidth="1"/>
    <col min="3347" max="3347" width="27.7109375" customWidth="1"/>
    <col min="3348" max="3348" width="12.85546875" customWidth="1"/>
    <col min="3349" max="3349" width="29.140625" customWidth="1"/>
    <col min="3586" max="3586" width="25" customWidth="1"/>
    <col min="3587" max="3587" width="11.42578125" customWidth="1"/>
    <col min="3588" max="3588" width="8.7109375" customWidth="1"/>
    <col min="3589" max="3589" width="15.5703125" customWidth="1"/>
    <col min="3590" max="3590" width="13.7109375" customWidth="1"/>
    <col min="3596" max="3596" width="11.42578125" customWidth="1"/>
    <col min="3600" max="3600" width="30.140625" customWidth="1"/>
    <col min="3601" max="3601" width="11.85546875" customWidth="1"/>
    <col min="3602" max="3602" width="12.28515625" customWidth="1"/>
    <col min="3603" max="3603" width="27.7109375" customWidth="1"/>
    <col min="3604" max="3604" width="12.85546875" customWidth="1"/>
    <col min="3605" max="3605" width="29.140625" customWidth="1"/>
    <col min="3842" max="3842" width="25" customWidth="1"/>
    <col min="3843" max="3843" width="11.42578125" customWidth="1"/>
    <col min="3844" max="3844" width="8.7109375" customWidth="1"/>
    <col min="3845" max="3845" width="15.5703125" customWidth="1"/>
    <col min="3846" max="3846" width="13.7109375" customWidth="1"/>
    <col min="3852" max="3852" width="11.42578125" customWidth="1"/>
    <col min="3856" max="3856" width="30.140625" customWidth="1"/>
    <col min="3857" max="3857" width="11.85546875" customWidth="1"/>
    <col min="3858" max="3858" width="12.28515625" customWidth="1"/>
    <col min="3859" max="3859" width="27.7109375" customWidth="1"/>
    <col min="3860" max="3860" width="12.85546875" customWidth="1"/>
    <col min="3861" max="3861" width="29.140625" customWidth="1"/>
    <col min="4098" max="4098" width="25" customWidth="1"/>
    <col min="4099" max="4099" width="11.42578125" customWidth="1"/>
    <col min="4100" max="4100" width="8.7109375" customWidth="1"/>
    <col min="4101" max="4101" width="15.5703125" customWidth="1"/>
    <col min="4102" max="4102" width="13.7109375" customWidth="1"/>
    <col min="4108" max="4108" width="11.42578125" customWidth="1"/>
    <col min="4112" max="4112" width="30.140625" customWidth="1"/>
    <col min="4113" max="4113" width="11.85546875" customWidth="1"/>
    <col min="4114" max="4114" width="12.28515625" customWidth="1"/>
    <col min="4115" max="4115" width="27.7109375" customWidth="1"/>
    <col min="4116" max="4116" width="12.85546875" customWidth="1"/>
    <col min="4117" max="4117" width="29.140625" customWidth="1"/>
    <col min="4354" max="4354" width="25" customWidth="1"/>
    <col min="4355" max="4355" width="11.42578125" customWidth="1"/>
    <col min="4356" max="4356" width="8.7109375" customWidth="1"/>
    <col min="4357" max="4357" width="15.5703125" customWidth="1"/>
    <col min="4358" max="4358" width="13.7109375" customWidth="1"/>
    <col min="4364" max="4364" width="11.42578125" customWidth="1"/>
    <col min="4368" max="4368" width="30.140625" customWidth="1"/>
    <col min="4369" max="4369" width="11.85546875" customWidth="1"/>
    <col min="4370" max="4370" width="12.28515625" customWidth="1"/>
    <col min="4371" max="4371" width="27.7109375" customWidth="1"/>
    <col min="4372" max="4372" width="12.85546875" customWidth="1"/>
    <col min="4373" max="4373" width="29.140625" customWidth="1"/>
    <col min="4610" max="4610" width="25" customWidth="1"/>
    <col min="4611" max="4611" width="11.42578125" customWidth="1"/>
    <col min="4612" max="4612" width="8.7109375" customWidth="1"/>
    <col min="4613" max="4613" width="15.5703125" customWidth="1"/>
    <col min="4614" max="4614" width="13.7109375" customWidth="1"/>
    <col min="4620" max="4620" width="11.42578125" customWidth="1"/>
    <col min="4624" max="4624" width="30.140625" customWidth="1"/>
    <col min="4625" max="4625" width="11.85546875" customWidth="1"/>
    <col min="4626" max="4626" width="12.28515625" customWidth="1"/>
    <col min="4627" max="4627" width="27.7109375" customWidth="1"/>
    <col min="4628" max="4628" width="12.85546875" customWidth="1"/>
    <col min="4629" max="4629" width="29.140625" customWidth="1"/>
    <col min="4866" max="4866" width="25" customWidth="1"/>
    <col min="4867" max="4867" width="11.42578125" customWidth="1"/>
    <col min="4868" max="4868" width="8.7109375" customWidth="1"/>
    <col min="4869" max="4869" width="15.5703125" customWidth="1"/>
    <col min="4870" max="4870" width="13.7109375" customWidth="1"/>
    <col min="4876" max="4876" width="11.42578125" customWidth="1"/>
    <col min="4880" max="4880" width="30.140625" customWidth="1"/>
    <col min="4881" max="4881" width="11.85546875" customWidth="1"/>
    <col min="4882" max="4882" width="12.28515625" customWidth="1"/>
    <col min="4883" max="4883" width="27.7109375" customWidth="1"/>
    <col min="4884" max="4884" width="12.85546875" customWidth="1"/>
    <col min="4885" max="4885" width="29.140625" customWidth="1"/>
    <col min="5122" max="5122" width="25" customWidth="1"/>
    <col min="5123" max="5123" width="11.42578125" customWidth="1"/>
    <col min="5124" max="5124" width="8.7109375" customWidth="1"/>
    <col min="5125" max="5125" width="15.5703125" customWidth="1"/>
    <col min="5126" max="5126" width="13.7109375" customWidth="1"/>
    <col min="5132" max="5132" width="11.42578125" customWidth="1"/>
    <col min="5136" max="5136" width="30.140625" customWidth="1"/>
    <col min="5137" max="5137" width="11.85546875" customWidth="1"/>
    <col min="5138" max="5138" width="12.28515625" customWidth="1"/>
    <col min="5139" max="5139" width="27.7109375" customWidth="1"/>
    <col min="5140" max="5140" width="12.85546875" customWidth="1"/>
    <col min="5141" max="5141" width="29.140625" customWidth="1"/>
    <col min="5378" max="5378" width="25" customWidth="1"/>
    <col min="5379" max="5379" width="11.42578125" customWidth="1"/>
    <col min="5380" max="5380" width="8.7109375" customWidth="1"/>
    <col min="5381" max="5381" width="15.5703125" customWidth="1"/>
    <col min="5382" max="5382" width="13.7109375" customWidth="1"/>
    <col min="5388" max="5388" width="11.42578125" customWidth="1"/>
    <col min="5392" max="5392" width="30.140625" customWidth="1"/>
    <col min="5393" max="5393" width="11.85546875" customWidth="1"/>
    <col min="5394" max="5394" width="12.28515625" customWidth="1"/>
    <col min="5395" max="5395" width="27.7109375" customWidth="1"/>
    <col min="5396" max="5396" width="12.85546875" customWidth="1"/>
    <col min="5397" max="5397" width="29.140625" customWidth="1"/>
    <col min="5634" max="5634" width="25" customWidth="1"/>
    <col min="5635" max="5635" width="11.42578125" customWidth="1"/>
    <col min="5636" max="5636" width="8.7109375" customWidth="1"/>
    <col min="5637" max="5637" width="15.5703125" customWidth="1"/>
    <col min="5638" max="5638" width="13.7109375" customWidth="1"/>
    <col min="5644" max="5644" width="11.42578125" customWidth="1"/>
    <col min="5648" max="5648" width="30.140625" customWidth="1"/>
    <col min="5649" max="5649" width="11.85546875" customWidth="1"/>
    <col min="5650" max="5650" width="12.28515625" customWidth="1"/>
    <col min="5651" max="5651" width="27.7109375" customWidth="1"/>
    <col min="5652" max="5652" width="12.85546875" customWidth="1"/>
    <col min="5653" max="5653" width="29.140625" customWidth="1"/>
    <col min="5890" max="5890" width="25" customWidth="1"/>
    <col min="5891" max="5891" width="11.42578125" customWidth="1"/>
    <col min="5892" max="5892" width="8.7109375" customWidth="1"/>
    <col min="5893" max="5893" width="15.5703125" customWidth="1"/>
    <col min="5894" max="5894" width="13.7109375" customWidth="1"/>
    <col min="5900" max="5900" width="11.42578125" customWidth="1"/>
    <col min="5904" max="5904" width="30.140625" customWidth="1"/>
    <col min="5905" max="5905" width="11.85546875" customWidth="1"/>
    <col min="5906" max="5906" width="12.28515625" customWidth="1"/>
    <col min="5907" max="5907" width="27.7109375" customWidth="1"/>
    <col min="5908" max="5908" width="12.85546875" customWidth="1"/>
    <col min="5909" max="5909" width="29.140625" customWidth="1"/>
    <col min="6146" max="6146" width="25" customWidth="1"/>
    <col min="6147" max="6147" width="11.42578125" customWidth="1"/>
    <col min="6148" max="6148" width="8.7109375" customWidth="1"/>
    <col min="6149" max="6149" width="15.5703125" customWidth="1"/>
    <col min="6150" max="6150" width="13.7109375" customWidth="1"/>
    <col min="6156" max="6156" width="11.42578125" customWidth="1"/>
    <col min="6160" max="6160" width="30.140625" customWidth="1"/>
    <col min="6161" max="6161" width="11.85546875" customWidth="1"/>
    <col min="6162" max="6162" width="12.28515625" customWidth="1"/>
    <col min="6163" max="6163" width="27.7109375" customWidth="1"/>
    <col min="6164" max="6164" width="12.85546875" customWidth="1"/>
    <col min="6165" max="6165" width="29.140625" customWidth="1"/>
    <col min="6402" max="6402" width="25" customWidth="1"/>
    <col min="6403" max="6403" width="11.42578125" customWidth="1"/>
    <col min="6404" max="6404" width="8.7109375" customWidth="1"/>
    <col min="6405" max="6405" width="15.5703125" customWidth="1"/>
    <col min="6406" max="6406" width="13.7109375" customWidth="1"/>
    <col min="6412" max="6412" width="11.42578125" customWidth="1"/>
    <col min="6416" max="6416" width="30.140625" customWidth="1"/>
    <col min="6417" max="6417" width="11.85546875" customWidth="1"/>
    <col min="6418" max="6418" width="12.28515625" customWidth="1"/>
    <col min="6419" max="6419" width="27.7109375" customWidth="1"/>
    <col min="6420" max="6420" width="12.85546875" customWidth="1"/>
    <col min="6421" max="6421" width="29.140625" customWidth="1"/>
    <col min="6658" max="6658" width="25" customWidth="1"/>
    <col min="6659" max="6659" width="11.42578125" customWidth="1"/>
    <col min="6660" max="6660" width="8.7109375" customWidth="1"/>
    <col min="6661" max="6661" width="15.5703125" customWidth="1"/>
    <col min="6662" max="6662" width="13.7109375" customWidth="1"/>
    <col min="6668" max="6668" width="11.42578125" customWidth="1"/>
    <col min="6672" max="6672" width="30.140625" customWidth="1"/>
    <col min="6673" max="6673" width="11.85546875" customWidth="1"/>
    <col min="6674" max="6674" width="12.28515625" customWidth="1"/>
    <col min="6675" max="6675" width="27.7109375" customWidth="1"/>
    <col min="6676" max="6676" width="12.85546875" customWidth="1"/>
    <col min="6677" max="6677" width="29.140625" customWidth="1"/>
    <col min="6914" max="6914" width="25" customWidth="1"/>
    <col min="6915" max="6915" width="11.42578125" customWidth="1"/>
    <col min="6916" max="6916" width="8.7109375" customWidth="1"/>
    <col min="6917" max="6917" width="15.5703125" customWidth="1"/>
    <col min="6918" max="6918" width="13.7109375" customWidth="1"/>
    <col min="6924" max="6924" width="11.42578125" customWidth="1"/>
    <col min="6928" max="6928" width="30.140625" customWidth="1"/>
    <col min="6929" max="6929" width="11.85546875" customWidth="1"/>
    <col min="6930" max="6930" width="12.28515625" customWidth="1"/>
    <col min="6931" max="6931" width="27.7109375" customWidth="1"/>
    <col min="6932" max="6932" width="12.85546875" customWidth="1"/>
    <col min="6933" max="6933" width="29.140625" customWidth="1"/>
    <col min="7170" max="7170" width="25" customWidth="1"/>
    <col min="7171" max="7171" width="11.42578125" customWidth="1"/>
    <col min="7172" max="7172" width="8.7109375" customWidth="1"/>
    <col min="7173" max="7173" width="15.5703125" customWidth="1"/>
    <col min="7174" max="7174" width="13.7109375" customWidth="1"/>
    <col min="7180" max="7180" width="11.42578125" customWidth="1"/>
    <col min="7184" max="7184" width="30.140625" customWidth="1"/>
    <col min="7185" max="7185" width="11.85546875" customWidth="1"/>
    <col min="7186" max="7186" width="12.28515625" customWidth="1"/>
    <col min="7187" max="7187" width="27.7109375" customWidth="1"/>
    <col min="7188" max="7188" width="12.85546875" customWidth="1"/>
    <col min="7189" max="7189" width="29.140625" customWidth="1"/>
    <col min="7426" max="7426" width="25" customWidth="1"/>
    <col min="7427" max="7427" width="11.42578125" customWidth="1"/>
    <col min="7428" max="7428" width="8.7109375" customWidth="1"/>
    <col min="7429" max="7429" width="15.5703125" customWidth="1"/>
    <col min="7430" max="7430" width="13.7109375" customWidth="1"/>
    <col min="7436" max="7436" width="11.42578125" customWidth="1"/>
    <col min="7440" max="7440" width="30.140625" customWidth="1"/>
    <col min="7441" max="7441" width="11.85546875" customWidth="1"/>
    <col min="7442" max="7442" width="12.28515625" customWidth="1"/>
    <col min="7443" max="7443" width="27.7109375" customWidth="1"/>
    <col min="7444" max="7444" width="12.85546875" customWidth="1"/>
    <col min="7445" max="7445" width="29.140625" customWidth="1"/>
    <col min="7682" max="7682" width="25" customWidth="1"/>
    <col min="7683" max="7683" width="11.42578125" customWidth="1"/>
    <col min="7684" max="7684" width="8.7109375" customWidth="1"/>
    <col min="7685" max="7685" width="15.5703125" customWidth="1"/>
    <col min="7686" max="7686" width="13.7109375" customWidth="1"/>
    <col min="7692" max="7692" width="11.42578125" customWidth="1"/>
    <col min="7696" max="7696" width="30.140625" customWidth="1"/>
    <col min="7697" max="7697" width="11.85546875" customWidth="1"/>
    <col min="7698" max="7698" width="12.28515625" customWidth="1"/>
    <col min="7699" max="7699" width="27.7109375" customWidth="1"/>
    <col min="7700" max="7700" width="12.85546875" customWidth="1"/>
    <col min="7701" max="7701" width="29.140625" customWidth="1"/>
    <col min="7938" max="7938" width="25" customWidth="1"/>
    <col min="7939" max="7939" width="11.42578125" customWidth="1"/>
    <col min="7940" max="7940" width="8.7109375" customWidth="1"/>
    <col min="7941" max="7941" width="15.5703125" customWidth="1"/>
    <col min="7942" max="7942" width="13.7109375" customWidth="1"/>
    <col min="7948" max="7948" width="11.42578125" customWidth="1"/>
    <col min="7952" max="7952" width="30.140625" customWidth="1"/>
    <col min="7953" max="7953" width="11.85546875" customWidth="1"/>
    <col min="7954" max="7954" width="12.28515625" customWidth="1"/>
    <col min="7955" max="7955" width="27.7109375" customWidth="1"/>
    <col min="7956" max="7956" width="12.85546875" customWidth="1"/>
    <col min="7957" max="7957" width="29.140625" customWidth="1"/>
    <col min="8194" max="8194" width="25" customWidth="1"/>
    <col min="8195" max="8195" width="11.42578125" customWidth="1"/>
    <col min="8196" max="8196" width="8.7109375" customWidth="1"/>
    <col min="8197" max="8197" width="15.5703125" customWidth="1"/>
    <col min="8198" max="8198" width="13.7109375" customWidth="1"/>
    <col min="8204" max="8204" width="11.42578125" customWidth="1"/>
    <col min="8208" max="8208" width="30.140625" customWidth="1"/>
    <col min="8209" max="8209" width="11.85546875" customWidth="1"/>
    <col min="8210" max="8210" width="12.28515625" customWidth="1"/>
    <col min="8211" max="8211" width="27.7109375" customWidth="1"/>
    <col min="8212" max="8212" width="12.85546875" customWidth="1"/>
    <col min="8213" max="8213" width="29.140625" customWidth="1"/>
    <col min="8450" max="8450" width="25" customWidth="1"/>
    <col min="8451" max="8451" width="11.42578125" customWidth="1"/>
    <col min="8452" max="8452" width="8.7109375" customWidth="1"/>
    <col min="8453" max="8453" width="15.5703125" customWidth="1"/>
    <col min="8454" max="8454" width="13.7109375" customWidth="1"/>
    <col min="8460" max="8460" width="11.42578125" customWidth="1"/>
    <col min="8464" max="8464" width="30.140625" customWidth="1"/>
    <col min="8465" max="8465" width="11.85546875" customWidth="1"/>
    <col min="8466" max="8466" width="12.28515625" customWidth="1"/>
    <col min="8467" max="8467" width="27.7109375" customWidth="1"/>
    <col min="8468" max="8468" width="12.85546875" customWidth="1"/>
    <col min="8469" max="8469" width="29.140625" customWidth="1"/>
    <col min="8706" max="8706" width="25" customWidth="1"/>
    <col min="8707" max="8707" width="11.42578125" customWidth="1"/>
    <col min="8708" max="8708" width="8.7109375" customWidth="1"/>
    <col min="8709" max="8709" width="15.5703125" customWidth="1"/>
    <col min="8710" max="8710" width="13.7109375" customWidth="1"/>
    <col min="8716" max="8716" width="11.42578125" customWidth="1"/>
    <col min="8720" max="8720" width="30.140625" customWidth="1"/>
    <col min="8721" max="8721" width="11.85546875" customWidth="1"/>
    <col min="8722" max="8722" width="12.28515625" customWidth="1"/>
    <col min="8723" max="8723" width="27.7109375" customWidth="1"/>
    <col min="8724" max="8724" width="12.85546875" customWidth="1"/>
    <col min="8725" max="8725" width="29.140625" customWidth="1"/>
    <col min="8962" max="8962" width="25" customWidth="1"/>
    <col min="8963" max="8963" width="11.42578125" customWidth="1"/>
    <col min="8964" max="8964" width="8.7109375" customWidth="1"/>
    <col min="8965" max="8965" width="15.5703125" customWidth="1"/>
    <col min="8966" max="8966" width="13.7109375" customWidth="1"/>
    <col min="8972" max="8972" width="11.42578125" customWidth="1"/>
    <col min="8976" max="8976" width="30.140625" customWidth="1"/>
    <col min="8977" max="8977" width="11.85546875" customWidth="1"/>
    <col min="8978" max="8978" width="12.28515625" customWidth="1"/>
    <col min="8979" max="8979" width="27.7109375" customWidth="1"/>
    <col min="8980" max="8980" width="12.85546875" customWidth="1"/>
    <col min="8981" max="8981" width="29.140625" customWidth="1"/>
    <col min="9218" max="9218" width="25" customWidth="1"/>
    <col min="9219" max="9219" width="11.42578125" customWidth="1"/>
    <col min="9220" max="9220" width="8.7109375" customWidth="1"/>
    <col min="9221" max="9221" width="15.5703125" customWidth="1"/>
    <col min="9222" max="9222" width="13.7109375" customWidth="1"/>
    <col min="9228" max="9228" width="11.42578125" customWidth="1"/>
    <col min="9232" max="9232" width="30.140625" customWidth="1"/>
    <col min="9233" max="9233" width="11.85546875" customWidth="1"/>
    <col min="9234" max="9234" width="12.28515625" customWidth="1"/>
    <col min="9235" max="9235" width="27.7109375" customWidth="1"/>
    <col min="9236" max="9236" width="12.85546875" customWidth="1"/>
    <col min="9237" max="9237" width="29.140625" customWidth="1"/>
    <col min="9474" max="9474" width="25" customWidth="1"/>
    <col min="9475" max="9475" width="11.42578125" customWidth="1"/>
    <col min="9476" max="9476" width="8.7109375" customWidth="1"/>
    <col min="9477" max="9477" width="15.5703125" customWidth="1"/>
    <col min="9478" max="9478" width="13.7109375" customWidth="1"/>
    <col min="9484" max="9484" width="11.42578125" customWidth="1"/>
    <col min="9488" max="9488" width="30.140625" customWidth="1"/>
    <col min="9489" max="9489" width="11.85546875" customWidth="1"/>
    <col min="9490" max="9490" width="12.28515625" customWidth="1"/>
    <col min="9491" max="9491" width="27.7109375" customWidth="1"/>
    <col min="9492" max="9492" width="12.85546875" customWidth="1"/>
    <col min="9493" max="9493" width="29.140625" customWidth="1"/>
    <col min="9730" max="9730" width="25" customWidth="1"/>
    <col min="9731" max="9731" width="11.42578125" customWidth="1"/>
    <col min="9732" max="9732" width="8.7109375" customWidth="1"/>
    <col min="9733" max="9733" width="15.5703125" customWidth="1"/>
    <col min="9734" max="9734" width="13.7109375" customWidth="1"/>
    <col min="9740" max="9740" width="11.42578125" customWidth="1"/>
    <col min="9744" max="9744" width="30.140625" customWidth="1"/>
    <col min="9745" max="9745" width="11.85546875" customWidth="1"/>
    <col min="9746" max="9746" width="12.28515625" customWidth="1"/>
    <col min="9747" max="9747" width="27.7109375" customWidth="1"/>
    <col min="9748" max="9748" width="12.85546875" customWidth="1"/>
    <col min="9749" max="9749" width="29.140625" customWidth="1"/>
    <col min="9986" max="9986" width="25" customWidth="1"/>
    <col min="9987" max="9987" width="11.42578125" customWidth="1"/>
    <col min="9988" max="9988" width="8.7109375" customWidth="1"/>
    <col min="9989" max="9989" width="15.5703125" customWidth="1"/>
    <col min="9990" max="9990" width="13.7109375" customWidth="1"/>
    <col min="9996" max="9996" width="11.42578125" customWidth="1"/>
    <col min="10000" max="10000" width="30.140625" customWidth="1"/>
    <col min="10001" max="10001" width="11.85546875" customWidth="1"/>
    <col min="10002" max="10002" width="12.28515625" customWidth="1"/>
    <col min="10003" max="10003" width="27.7109375" customWidth="1"/>
    <col min="10004" max="10004" width="12.85546875" customWidth="1"/>
    <col min="10005" max="10005" width="29.140625" customWidth="1"/>
    <col min="10242" max="10242" width="25" customWidth="1"/>
    <col min="10243" max="10243" width="11.42578125" customWidth="1"/>
    <col min="10244" max="10244" width="8.7109375" customWidth="1"/>
    <col min="10245" max="10245" width="15.5703125" customWidth="1"/>
    <col min="10246" max="10246" width="13.7109375" customWidth="1"/>
    <col min="10252" max="10252" width="11.42578125" customWidth="1"/>
    <col min="10256" max="10256" width="30.140625" customWidth="1"/>
    <col min="10257" max="10257" width="11.85546875" customWidth="1"/>
    <col min="10258" max="10258" width="12.28515625" customWidth="1"/>
    <col min="10259" max="10259" width="27.7109375" customWidth="1"/>
    <col min="10260" max="10260" width="12.85546875" customWidth="1"/>
    <col min="10261" max="10261" width="29.140625" customWidth="1"/>
    <col min="10498" max="10498" width="25" customWidth="1"/>
    <col min="10499" max="10499" width="11.42578125" customWidth="1"/>
    <col min="10500" max="10500" width="8.7109375" customWidth="1"/>
    <col min="10501" max="10501" width="15.5703125" customWidth="1"/>
    <col min="10502" max="10502" width="13.7109375" customWidth="1"/>
    <col min="10508" max="10508" width="11.42578125" customWidth="1"/>
    <col min="10512" max="10512" width="30.140625" customWidth="1"/>
    <col min="10513" max="10513" width="11.85546875" customWidth="1"/>
    <col min="10514" max="10514" width="12.28515625" customWidth="1"/>
    <col min="10515" max="10515" width="27.7109375" customWidth="1"/>
    <col min="10516" max="10516" width="12.85546875" customWidth="1"/>
    <col min="10517" max="10517" width="29.140625" customWidth="1"/>
    <col min="10754" max="10754" width="25" customWidth="1"/>
    <col min="10755" max="10755" width="11.42578125" customWidth="1"/>
    <col min="10756" max="10756" width="8.7109375" customWidth="1"/>
    <col min="10757" max="10757" width="15.5703125" customWidth="1"/>
    <col min="10758" max="10758" width="13.7109375" customWidth="1"/>
    <col min="10764" max="10764" width="11.42578125" customWidth="1"/>
    <col min="10768" max="10768" width="30.140625" customWidth="1"/>
    <col min="10769" max="10769" width="11.85546875" customWidth="1"/>
    <col min="10770" max="10770" width="12.28515625" customWidth="1"/>
    <col min="10771" max="10771" width="27.7109375" customWidth="1"/>
    <col min="10772" max="10772" width="12.85546875" customWidth="1"/>
    <col min="10773" max="10773" width="29.140625" customWidth="1"/>
    <col min="11010" max="11010" width="25" customWidth="1"/>
    <col min="11011" max="11011" width="11.42578125" customWidth="1"/>
    <col min="11012" max="11012" width="8.7109375" customWidth="1"/>
    <col min="11013" max="11013" width="15.5703125" customWidth="1"/>
    <col min="11014" max="11014" width="13.7109375" customWidth="1"/>
    <col min="11020" max="11020" width="11.42578125" customWidth="1"/>
    <col min="11024" max="11024" width="30.140625" customWidth="1"/>
    <col min="11025" max="11025" width="11.85546875" customWidth="1"/>
    <col min="11026" max="11026" width="12.28515625" customWidth="1"/>
    <col min="11027" max="11027" width="27.7109375" customWidth="1"/>
    <col min="11028" max="11028" width="12.85546875" customWidth="1"/>
    <col min="11029" max="11029" width="29.140625" customWidth="1"/>
    <col min="11266" max="11266" width="25" customWidth="1"/>
    <col min="11267" max="11267" width="11.42578125" customWidth="1"/>
    <col min="11268" max="11268" width="8.7109375" customWidth="1"/>
    <col min="11269" max="11269" width="15.5703125" customWidth="1"/>
    <col min="11270" max="11270" width="13.7109375" customWidth="1"/>
    <col min="11276" max="11276" width="11.42578125" customWidth="1"/>
    <col min="11280" max="11280" width="30.140625" customWidth="1"/>
    <col min="11281" max="11281" width="11.85546875" customWidth="1"/>
    <col min="11282" max="11282" width="12.28515625" customWidth="1"/>
    <col min="11283" max="11283" width="27.7109375" customWidth="1"/>
    <col min="11284" max="11284" width="12.85546875" customWidth="1"/>
    <col min="11285" max="11285" width="29.140625" customWidth="1"/>
    <col min="11522" max="11522" width="25" customWidth="1"/>
    <col min="11523" max="11523" width="11.42578125" customWidth="1"/>
    <col min="11524" max="11524" width="8.7109375" customWidth="1"/>
    <col min="11525" max="11525" width="15.5703125" customWidth="1"/>
    <col min="11526" max="11526" width="13.7109375" customWidth="1"/>
    <col min="11532" max="11532" width="11.42578125" customWidth="1"/>
    <col min="11536" max="11536" width="30.140625" customWidth="1"/>
    <col min="11537" max="11537" width="11.85546875" customWidth="1"/>
    <col min="11538" max="11538" width="12.28515625" customWidth="1"/>
    <col min="11539" max="11539" width="27.7109375" customWidth="1"/>
    <col min="11540" max="11540" width="12.85546875" customWidth="1"/>
    <col min="11541" max="11541" width="29.140625" customWidth="1"/>
    <col min="11778" max="11778" width="25" customWidth="1"/>
    <col min="11779" max="11779" width="11.42578125" customWidth="1"/>
    <col min="11780" max="11780" width="8.7109375" customWidth="1"/>
    <col min="11781" max="11781" width="15.5703125" customWidth="1"/>
    <col min="11782" max="11782" width="13.7109375" customWidth="1"/>
    <col min="11788" max="11788" width="11.42578125" customWidth="1"/>
    <col min="11792" max="11792" width="30.140625" customWidth="1"/>
    <col min="11793" max="11793" width="11.85546875" customWidth="1"/>
    <col min="11794" max="11794" width="12.28515625" customWidth="1"/>
    <col min="11795" max="11795" width="27.7109375" customWidth="1"/>
    <col min="11796" max="11796" width="12.85546875" customWidth="1"/>
    <col min="11797" max="11797" width="29.140625" customWidth="1"/>
    <col min="12034" max="12034" width="25" customWidth="1"/>
    <col min="12035" max="12035" width="11.42578125" customWidth="1"/>
    <col min="12036" max="12036" width="8.7109375" customWidth="1"/>
    <col min="12037" max="12037" width="15.5703125" customWidth="1"/>
    <col min="12038" max="12038" width="13.7109375" customWidth="1"/>
    <col min="12044" max="12044" width="11.42578125" customWidth="1"/>
    <col min="12048" max="12048" width="30.140625" customWidth="1"/>
    <col min="12049" max="12049" width="11.85546875" customWidth="1"/>
    <col min="12050" max="12050" width="12.28515625" customWidth="1"/>
    <col min="12051" max="12051" width="27.7109375" customWidth="1"/>
    <col min="12052" max="12052" width="12.85546875" customWidth="1"/>
    <col min="12053" max="12053" width="29.140625" customWidth="1"/>
    <col min="12290" max="12290" width="25" customWidth="1"/>
    <col min="12291" max="12291" width="11.42578125" customWidth="1"/>
    <col min="12292" max="12292" width="8.7109375" customWidth="1"/>
    <col min="12293" max="12293" width="15.5703125" customWidth="1"/>
    <col min="12294" max="12294" width="13.7109375" customWidth="1"/>
    <col min="12300" max="12300" width="11.42578125" customWidth="1"/>
    <col min="12304" max="12304" width="30.140625" customWidth="1"/>
    <col min="12305" max="12305" width="11.85546875" customWidth="1"/>
    <col min="12306" max="12306" width="12.28515625" customWidth="1"/>
    <col min="12307" max="12307" width="27.7109375" customWidth="1"/>
    <col min="12308" max="12308" width="12.85546875" customWidth="1"/>
    <col min="12309" max="12309" width="29.140625" customWidth="1"/>
    <col min="12546" max="12546" width="25" customWidth="1"/>
    <col min="12547" max="12547" width="11.42578125" customWidth="1"/>
    <col min="12548" max="12548" width="8.7109375" customWidth="1"/>
    <col min="12549" max="12549" width="15.5703125" customWidth="1"/>
    <col min="12550" max="12550" width="13.7109375" customWidth="1"/>
    <col min="12556" max="12556" width="11.42578125" customWidth="1"/>
    <col min="12560" max="12560" width="30.140625" customWidth="1"/>
    <col min="12561" max="12561" width="11.85546875" customWidth="1"/>
    <col min="12562" max="12562" width="12.28515625" customWidth="1"/>
    <col min="12563" max="12563" width="27.7109375" customWidth="1"/>
    <col min="12564" max="12564" width="12.85546875" customWidth="1"/>
    <col min="12565" max="12565" width="29.140625" customWidth="1"/>
    <col min="12802" max="12802" width="25" customWidth="1"/>
    <col min="12803" max="12803" width="11.42578125" customWidth="1"/>
    <col min="12804" max="12804" width="8.7109375" customWidth="1"/>
    <col min="12805" max="12805" width="15.5703125" customWidth="1"/>
    <col min="12806" max="12806" width="13.7109375" customWidth="1"/>
    <col min="12812" max="12812" width="11.42578125" customWidth="1"/>
    <col min="12816" max="12816" width="30.140625" customWidth="1"/>
    <col min="12817" max="12817" width="11.85546875" customWidth="1"/>
    <col min="12818" max="12818" width="12.28515625" customWidth="1"/>
    <col min="12819" max="12819" width="27.7109375" customWidth="1"/>
    <col min="12820" max="12820" width="12.85546875" customWidth="1"/>
    <col min="12821" max="12821" width="29.140625" customWidth="1"/>
    <col min="13058" max="13058" width="25" customWidth="1"/>
    <col min="13059" max="13059" width="11.42578125" customWidth="1"/>
    <col min="13060" max="13060" width="8.7109375" customWidth="1"/>
    <col min="13061" max="13061" width="15.5703125" customWidth="1"/>
    <col min="13062" max="13062" width="13.7109375" customWidth="1"/>
    <col min="13068" max="13068" width="11.42578125" customWidth="1"/>
    <col min="13072" max="13072" width="30.140625" customWidth="1"/>
    <col min="13073" max="13073" width="11.85546875" customWidth="1"/>
    <col min="13074" max="13074" width="12.28515625" customWidth="1"/>
    <col min="13075" max="13075" width="27.7109375" customWidth="1"/>
    <col min="13076" max="13076" width="12.85546875" customWidth="1"/>
    <col min="13077" max="13077" width="29.140625" customWidth="1"/>
    <col min="13314" max="13314" width="25" customWidth="1"/>
    <col min="13315" max="13315" width="11.42578125" customWidth="1"/>
    <col min="13316" max="13316" width="8.7109375" customWidth="1"/>
    <col min="13317" max="13317" width="15.5703125" customWidth="1"/>
    <col min="13318" max="13318" width="13.7109375" customWidth="1"/>
    <col min="13324" max="13324" width="11.42578125" customWidth="1"/>
    <col min="13328" max="13328" width="30.140625" customWidth="1"/>
    <col min="13329" max="13329" width="11.85546875" customWidth="1"/>
    <col min="13330" max="13330" width="12.28515625" customWidth="1"/>
    <col min="13331" max="13331" width="27.7109375" customWidth="1"/>
    <col min="13332" max="13332" width="12.85546875" customWidth="1"/>
    <col min="13333" max="13333" width="29.140625" customWidth="1"/>
    <col min="13570" max="13570" width="25" customWidth="1"/>
    <col min="13571" max="13571" width="11.42578125" customWidth="1"/>
    <col min="13572" max="13572" width="8.7109375" customWidth="1"/>
    <col min="13573" max="13573" width="15.5703125" customWidth="1"/>
    <col min="13574" max="13574" width="13.7109375" customWidth="1"/>
    <col min="13580" max="13580" width="11.42578125" customWidth="1"/>
    <col min="13584" max="13584" width="30.140625" customWidth="1"/>
    <col min="13585" max="13585" width="11.85546875" customWidth="1"/>
    <col min="13586" max="13586" width="12.28515625" customWidth="1"/>
    <col min="13587" max="13587" width="27.7109375" customWidth="1"/>
    <col min="13588" max="13588" width="12.85546875" customWidth="1"/>
    <col min="13589" max="13589" width="29.140625" customWidth="1"/>
    <col min="13826" max="13826" width="25" customWidth="1"/>
    <col min="13827" max="13827" width="11.42578125" customWidth="1"/>
    <col min="13828" max="13828" width="8.7109375" customWidth="1"/>
    <col min="13829" max="13829" width="15.5703125" customWidth="1"/>
    <col min="13830" max="13830" width="13.7109375" customWidth="1"/>
    <col min="13836" max="13836" width="11.42578125" customWidth="1"/>
    <col min="13840" max="13840" width="30.140625" customWidth="1"/>
    <col min="13841" max="13841" width="11.85546875" customWidth="1"/>
    <col min="13842" max="13842" width="12.28515625" customWidth="1"/>
    <col min="13843" max="13843" width="27.7109375" customWidth="1"/>
    <col min="13844" max="13844" width="12.85546875" customWidth="1"/>
    <col min="13845" max="13845" width="29.140625" customWidth="1"/>
    <col min="14082" max="14082" width="25" customWidth="1"/>
    <col min="14083" max="14083" width="11.42578125" customWidth="1"/>
    <col min="14084" max="14084" width="8.7109375" customWidth="1"/>
    <col min="14085" max="14085" width="15.5703125" customWidth="1"/>
    <col min="14086" max="14086" width="13.7109375" customWidth="1"/>
    <col min="14092" max="14092" width="11.42578125" customWidth="1"/>
    <col min="14096" max="14096" width="30.140625" customWidth="1"/>
    <col min="14097" max="14097" width="11.85546875" customWidth="1"/>
    <col min="14098" max="14098" width="12.28515625" customWidth="1"/>
    <col min="14099" max="14099" width="27.7109375" customWidth="1"/>
    <col min="14100" max="14100" width="12.85546875" customWidth="1"/>
    <col min="14101" max="14101" width="29.140625" customWidth="1"/>
    <col min="14338" max="14338" width="25" customWidth="1"/>
    <col min="14339" max="14339" width="11.42578125" customWidth="1"/>
    <col min="14340" max="14340" width="8.7109375" customWidth="1"/>
    <col min="14341" max="14341" width="15.5703125" customWidth="1"/>
    <col min="14342" max="14342" width="13.7109375" customWidth="1"/>
    <col min="14348" max="14348" width="11.42578125" customWidth="1"/>
    <col min="14352" max="14352" width="30.140625" customWidth="1"/>
    <col min="14353" max="14353" width="11.85546875" customWidth="1"/>
    <col min="14354" max="14354" width="12.28515625" customWidth="1"/>
    <col min="14355" max="14355" width="27.7109375" customWidth="1"/>
    <col min="14356" max="14356" width="12.85546875" customWidth="1"/>
    <col min="14357" max="14357" width="29.140625" customWidth="1"/>
    <col min="14594" max="14594" width="25" customWidth="1"/>
    <col min="14595" max="14595" width="11.42578125" customWidth="1"/>
    <col min="14596" max="14596" width="8.7109375" customWidth="1"/>
    <col min="14597" max="14597" width="15.5703125" customWidth="1"/>
    <col min="14598" max="14598" width="13.7109375" customWidth="1"/>
    <col min="14604" max="14604" width="11.42578125" customWidth="1"/>
    <col min="14608" max="14608" width="30.140625" customWidth="1"/>
    <col min="14609" max="14609" width="11.85546875" customWidth="1"/>
    <col min="14610" max="14610" width="12.28515625" customWidth="1"/>
    <col min="14611" max="14611" width="27.7109375" customWidth="1"/>
    <col min="14612" max="14612" width="12.85546875" customWidth="1"/>
    <col min="14613" max="14613" width="29.140625" customWidth="1"/>
    <col min="14850" max="14850" width="25" customWidth="1"/>
    <col min="14851" max="14851" width="11.42578125" customWidth="1"/>
    <col min="14852" max="14852" width="8.7109375" customWidth="1"/>
    <col min="14853" max="14853" width="15.5703125" customWidth="1"/>
    <col min="14854" max="14854" width="13.7109375" customWidth="1"/>
    <col min="14860" max="14860" width="11.42578125" customWidth="1"/>
    <col min="14864" max="14864" width="30.140625" customWidth="1"/>
    <col min="14865" max="14865" width="11.85546875" customWidth="1"/>
    <col min="14866" max="14866" width="12.28515625" customWidth="1"/>
    <col min="14867" max="14867" width="27.7109375" customWidth="1"/>
    <col min="14868" max="14868" width="12.85546875" customWidth="1"/>
    <col min="14869" max="14869" width="29.140625" customWidth="1"/>
    <col min="15106" max="15106" width="25" customWidth="1"/>
    <col min="15107" max="15107" width="11.42578125" customWidth="1"/>
    <col min="15108" max="15108" width="8.7109375" customWidth="1"/>
    <col min="15109" max="15109" width="15.5703125" customWidth="1"/>
    <col min="15110" max="15110" width="13.7109375" customWidth="1"/>
    <col min="15116" max="15116" width="11.42578125" customWidth="1"/>
    <col min="15120" max="15120" width="30.140625" customWidth="1"/>
    <col min="15121" max="15121" width="11.85546875" customWidth="1"/>
    <col min="15122" max="15122" width="12.28515625" customWidth="1"/>
    <col min="15123" max="15123" width="27.7109375" customWidth="1"/>
    <col min="15124" max="15124" width="12.85546875" customWidth="1"/>
    <col min="15125" max="15125" width="29.140625" customWidth="1"/>
    <col min="15362" max="15362" width="25" customWidth="1"/>
    <col min="15363" max="15363" width="11.42578125" customWidth="1"/>
    <col min="15364" max="15364" width="8.7109375" customWidth="1"/>
    <col min="15365" max="15365" width="15.5703125" customWidth="1"/>
    <col min="15366" max="15366" width="13.7109375" customWidth="1"/>
    <col min="15372" max="15372" width="11.42578125" customWidth="1"/>
    <col min="15376" max="15376" width="30.140625" customWidth="1"/>
    <col min="15377" max="15377" width="11.85546875" customWidth="1"/>
    <col min="15378" max="15378" width="12.28515625" customWidth="1"/>
    <col min="15379" max="15379" width="27.7109375" customWidth="1"/>
    <col min="15380" max="15380" width="12.85546875" customWidth="1"/>
    <col min="15381" max="15381" width="29.140625" customWidth="1"/>
    <col min="15618" max="15618" width="25" customWidth="1"/>
    <col min="15619" max="15619" width="11.42578125" customWidth="1"/>
    <col min="15620" max="15620" width="8.7109375" customWidth="1"/>
    <col min="15621" max="15621" width="15.5703125" customWidth="1"/>
    <col min="15622" max="15622" width="13.7109375" customWidth="1"/>
    <col min="15628" max="15628" width="11.42578125" customWidth="1"/>
    <col min="15632" max="15632" width="30.140625" customWidth="1"/>
    <col min="15633" max="15633" width="11.85546875" customWidth="1"/>
    <col min="15634" max="15634" width="12.28515625" customWidth="1"/>
    <col min="15635" max="15635" width="27.7109375" customWidth="1"/>
    <col min="15636" max="15636" width="12.85546875" customWidth="1"/>
    <col min="15637" max="15637" width="29.140625" customWidth="1"/>
    <col min="15874" max="15874" width="25" customWidth="1"/>
    <col min="15875" max="15875" width="11.42578125" customWidth="1"/>
    <col min="15876" max="15876" width="8.7109375" customWidth="1"/>
    <col min="15877" max="15877" width="15.5703125" customWidth="1"/>
    <col min="15878" max="15878" width="13.7109375" customWidth="1"/>
    <col min="15884" max="15884" width="11.42578125" customWidth="1"/>
    <col min="15888" max="15888" width="30.140625" customWidth="1"/>
    <col min="15889" max="15889" width="11.85546875" customWidth="1"/>
    <col min="15890" max="15890" width="12.28515625" customWidth="1"/>
    <col min="15891" max="15891" width="27.7109375" customWidth="1"/>
    <col min="15892" max="15892" width="12.85546875" customWidth="1"/>
    <col min="15893" max="15893" width="29.140625" customWidth="1"/>
    <col min="16130" max="16130" width="25" customWidth="1"/>
    <col min="16131" max="16131" width="11.42578125" customWidth="1"/>
    <col min="16132" max="16132" width="8.7109375" customWidth="1"/>
    <col min="16133" max="16133" width="15.5703125" customWidth="1"/>
    <col min="16134" max="16134" width="13.7109375" customWidth="1"/>
    <col min="16140" max="16140" width="11.42578125" customWidth="1"/>
    <col min="16144" max="16144" width="30.140625" customWidth="1"/>
    <col min="16145" max="16145" width="11.85546875" customWidth="1"/>
    <col min="16146" max="16146" width="12.28515625" customWidth="1"/>
    <col min="16147" max="16147" width="27.7109375" customWidth="1"/>
    <col min="16148" max="16148" width="12.85546875" customWidth="1"/>
    <col min="16149" max="16149" width="29.140625" customWidth="1"/>
  </cols>
  <sheetData>
    <row r="1" spans="2:14" ht="75">
      <c r="B1" s="37"/>
      <c r="C1" s="37"/>
      <c r="D1" s="37"/>
      <c r="E1" s="38" t="s">
        <v>628</v>
      </c>
      <c r="F1" s="39" t="s">
        <v>7</v>
      </c>
      <c r="G1" t="s">
        <v>8</v>
      </c>
      <c r="N1" s="40"/>
    </row>
    <row r="2" spans="2:14">
      <c r="B2" s="41" t="s">
        <v>341</v>
      </c>
      <c r="C2" s="42"/>
      <c r="D2" s="43"/>
      <c r="E2" s="44">
        <v>170</v>
      </c>
      <c r="F2" s="45"/>
      <c r="N2" s="40"/>
    </row>
    <row r="3" spans="2:14">
      <c r="B3" s="41" t="s">
        <v>342</v>
      </c>
      <c r="C3" s="42">
        <v>50</v>
      </c>
      <c r="D3" s="43"/>
      <c r="E3" s="46">
        <v>250.488</v>
      </c>
      <c r="F3" s="45" t="s">
        <v>42</v>
      </c>
      <c r="N3" s="40"/>
    </row>
    <row r="4" spans="2:14">
      <c r="B4" s="41" t="s">
        <v>342</v>
      </c>
      <c r="C4" s="42" t="s">
        <v>344</v>
      </c>
      <c r="D4" s="43"/>
      <c r="E4" s="47">
        <v>397.94400000000002</v>
      </c>
      <c r="F4" s="45" t="s">
        <v>42</v>
      </c>
      <c r="N4" s="40"/>
    </row>
    <row r="5" spans="2:14">
      <c r="B5" s="48" t="s">
        <v>629</v>
      </c>
      <c r="C5" s="49">
        <v>50</v>
      </c>
      <c r="D5" s="43"/>
      <c r="E5" s="46">
        <v>25.993500000000001</v>
      </c>
      <c r="F5" s="45" t="s">
        <v>42</v>
      </c>
      <c r="N5" s="40"/>
    </row>
    <row r="6" spans="2:14">
      <c r="B6" s="48" t="s">
        <v>629</v>
      </c>
      <c r="C6" s="49">
        <v>75</v>
      </c>
      <c r="D6" s="43"/>
      <c r="E6" s="46">
        <v>29.744</v>
      </c>
      <c r="F6" s="45" t="s">
        <v>42</v>
      </c>
      <c r="N6" s="40"/>
    </row>
    <row r="7" spans="2:14">
      <c r="B7" s="48" t="s">
        <v>629</v>
      </c>
      <c r="C7" s="49">
        <v>110</v>
      </c>
      <c r="D7" s="43"/>
      <c r="E7" s="46">
        <v>43.783999999999999</v>
      </c>
      <c r="F7" s="45" t="s">
        <v>42</v>
      </c>
      <c r="N7" s="40"/>
    </row>
    <row r="8" spans="2:14">
      <c r="B8" s="48" t="s">
        <v>629</v>
      </c>
      <c r="C8" s="49">
        <v>160</v>
      </c>
      <c r="D8" s="43"/>
      <c r="E8" s="46">
        <v>57.977999999999994</v>
      </c>
      <c r="F8" s="45" t="s">
        <v>42</v>
      </c>
      <c r="N8" s="40"/>
    </row>
    <row r="9" spans="2:14">
      <c r="B9" s="50"/>
      <c r="C9" s="50"/>
      <c r="D9" s="50"/>
      <c r="E9" s="50"/>
      <c r="F9" s="50"/>
      <c r="N9" s="40"/>
    </row>
    <row r="10" spans="2:14">
      <c r="B10" s="48" t="s">
        <v>629</v>
      </c>
      <c r="C10" s="51">
        <v>50</v>
      </c>
      <c r="D10" s="43"/>
      <c r="E10" s="52">
        <f>21.26*0.6</f>
        <v>12.756</v>
      </c>
      <c r="F10" s="45" t="s">
        <v>348</v>
      </c>
      <c r="N10" s="40"/>
    </row>
    <row r="11" spans="2:14">
      <c r="B11" s="48" t="s">
        <v>629</v>
      </c>
      <c r="C11" s="51">
        <v>75</v>
      </c>
      <c r="D11" s="43"/>
      <c r="E11" s="53">
        <f>23.07*0.6</f>
        <v>13.842000000000001</v>
      </c>
      <c r="F11" s="45" t="s">
        <v>348</v>
      </c>
      <c r="N11" s="40"/>
    </row>
    <row r="12" spans="2:14">
      <c r="B12" s="48" t="s">
        <v>629</v>
      </c>
      <c r="C12" s="51">
        <v>110</v>
      </c>
      <c r="D12" s="43"/>
      <c r="E12" s="53">
        <f>28.08*0.6</f>
        <v>16.847999999999999</v>
      </c>
      <c r="F12" s="45" t="s">
        <v>348</v>
      </c>
      <c r="N12" s="40"/>
    </row>
    <row r="13" spans="2:14">
      <c r="B13" s="48" t="s">
        <v>629</v>
      </c>
      <c r="C13" s="51">
        <v>125</v>
      </c>
      <c r="D13" s="43"/>
      <c r="E13" s="53">
        <f>76.1*0.6</f>
        <v>45.66</v>
      </c>
      <c r="F13" s="45" t="s">
        <v>348</v>
      </c>
      <c r="N13" s="40"/>
    </row>
    <row r="14" spans="2:14">
      <c r="B14" s="48" t="s">
        <v>629</v>
      </c>
      <c r="C14" s="51">
        <v>160</v>
      </c>
      <c r="D14" s="43"/>
      <c r="E14" s="53">
        <f>128.8*0.6</f>
        <v>77.28</v>
      </c>
      <c r="F14" s="45" t="s">
        <v>348</v>
      </c>
      <c r="N14" s="40"/>
    </row>
    <row r="15" spans="2:14">
      <c r="N15" s="40"/>
    </row>
    <row r="16" spans="2:14" ht="15.75" thickBot="1">
      <c r="N16" s="40"/>
    </row>
    <row r="17" spans="2:21" ht="30.75" thickBot="1">
      <c r="B17" s="54" t="s">
        <v>630</v>
      </c>
      <c r="C17" s="55" t="s">
        <v>611</v>
      </c>
      <c r="D17" s="55" t="s">
        <v>612</v>
      </c>
      <c r="E17" s="55" t="s">
        <v>613</v>
      </c>
      <c r="F17" s="55" t="s">
        <v>611</v>
      </c>
      <c r="G17" s="55" t="s">
        <v>614</v>
      </c>
      <c r="H17" s="55" t="s">
        <v>615</v>
      </c>
      <c r="I17" s="55" t="s">
        <v>613</v>
      </c>
      <c r="J17" s="55" t="s">
        <v>611</v>
      </c>
      <c r="K17" s="56" t="s">
        <v>616</v>
      </c>
      <c r="L17" s="666" t="s">
        <v>617</v>
      </c>
      <c r="N17" s="40"/>
      <c r="P17" s="57"/>
      <c r="Q17" s="57"/>
      <c r="R17" s="57"/>
      <c r="S17" s="57"/>
      <c r="T17" s="57"/>
      <c r="U17" s="57"/>
    </row>
    <row r="18" spans="2:21" ht="15.75" thickBot="1">
      <c r="B18" s="58" t="s">
        <v>631</v>
      </c>
      <c r="C18" s="59">
        <v>1.04</v>
      </c>
      <c r="D18">
        <v>6.95</v>
      </c>
      <c r="E18" s="60">
        <v>0.45</v>
      </c>
      <c r="F18" s="11">
        <v>0.36</v>
      </c>
      <c r="G18" s="11">
        <v>4.82</v>
      </c>
      <c r="H18" s="11">
        <v>2.29</v>
      </c>
      <c r="I18" s="12">
        <v>0.45</v>
      </c>
      <c r="J18" s="59">
        <v>1</v>
      </c>
      <c r="K18" s="61">
        <v>5.6004999999999994</v>
      </c>
      <c r="L18" s="667">
        <f>(C18*(D18-D18*E18)+F18*((G18+H18)-(G18+H18)*I18)/2+J18*K18)*1.015</f>
        <v>10.433986849999998</v>
      </c>
      <c r="M18" s="40" t="s">
        <v>348</v>
      </c>
      <c r="N18" s="62">
        <v>45748</v>
      </c>
      <c r="P18" s="57"/>
      <c r="Q18" s="57"/>
      <c r="R18" s="57"/>
      <c r="S18" s="57"/>
      <c r="T18" s="57"/>
      <c r="U18" s="57"/>
    </row>
    <row r="19" spans="2:21" ht="27.75" thickBot="1">
      <c r="B19" s="58" t="s">
        <v>632</v>
      </c>
      <c r="C19" s="59">
        <v>1.04</v>
      </c>
      <c r="D19" s="59">
        <v>13.05</v>
      </c>
      <c r="E19" s="60">
        <v>0.45</v>
      </c>
      <c r="F19" s="11">
        <v>0.36</v>
      </c>
      <c r="G19" s="11">
        <v>6.47</v>
      </c>
      <c r="H19" s="11">
        <v>3.09</v>
      </c>
      <c r="I19" s="12">
        <v>0.45</v>
      </c>
      <c r="J19" s="59">
        <v>1</v>
      </c>
      <c r="K19" s="63">
        <f>5.6005</f>
        <v>5.6005000000000003</v>
      </c>
      <c r="L19" s="667">
        <f t="shared" ref="L19:L24" si="0">(C19*(D19-D19*E19)+F19*((G19+H19)-(G19+H19)*I19)/2+J19*K19)*1.015</f>
        <v>14.221713099999999</v>
      </c>
      <c r="M19" s="40" t="s">
        <v>348</v>
      </c>
      <c r="N19" s="62">
        <f>N18</f>
        <v>45748</v>
      </c>
      <c r="P19" s="64" t="s">
        <v>633</v>
      </c>
      <c r="Q19" s="64" t="s">
        <v>633</v>
      </c>
      <c r="R19" s="64" t="s">
        <v>634</v>
      </c>
      <c r="S19" s="64" t="s">
        <v>635</v>
      </c>
      <c r="T19" s="64" t="s">
        <v>636</v>
      </c>
      <c r="U19" s="57"/>
    </row>
    <row r="20" spans="2:21">
      <c r="B20" s="65" t="s">
        <v>637</v>
      </c>
      <c r="C20" s="11">
        <v>1.04</v>
      </c>
      <c r="D20" s="11">
        <v>12.35</v>
      </c>
      <c r="E20" s="12">
        <v>0.45</v>
      </c>
      <c r="F20" s="11">
        <v>0.36</v>
      </c>
      <c r="G20" s="11">
        <v>6.47</v>
      </c>
      <c r="H20" s="11">
        <v>3.89</v>
      </c>
      <c r="I20" s="12">
        <v>0.45</v>
      </c>
      <c r="J20" s="11">
        <v>1</v>
      </c>
      <c r="K20" s="66">
        <f>5.6005</f>
        <v>5.6005000000000003</v>
      </c>
      <c r="L20" s="668">
        <f t="shared" si="0"/>
        <v>13.895695099999998</v>
      </c>
      <c r="M20" s="40" t="s">
        <v>348</v>
      </c>
      <c r="N20" s="62">
        <f t="shared" ref="N20:N69" si="1">N19</f>
        <v>45748</v>
      </c>
      <c r="P20" s="67" t="s">
        <v>638</v>
      </c>
      <c r="Q20" s="68">
        <f>21.26*0.6</f>
        <v>12.756</v>
      </c>
      <c r="R20" s="68"/>
      <c r="S20" s="68">
        <v>37.64</v>
      </c>
      <c r="T20" s="68"/>
      <c r="U20" s="57"/>
    </row>
    <row r="21" spans="2:21">
      <c r="B21" s="65" t="s">
        <v>639</v>
      </c>
      <c r="C21" s="11">
        <v>1</v>
      </c>
      <c r="D21" s="11">
        <v>19.91</v>
      </c>
      <c r="E21" s="12">
        <v>0.45</v>
      </c>
      <c r="F21" s="11">
        <v>0.47</v>
      </c>
      <c r="G21" s="11">
        <v>11.45</v>
      </c>
      <c r="H21" s="11">
        <v>6.5</v>
      </c>
      <c r="I21" s="12">
        <v>0.45</v>
      </c>
      <c r="J21" s="11">
        <v>0.8</v>
      </c>
      <c r="K21" s="66">
        <f>8.878</f>
        <v>8.8780000000000001</v>
      </c>
      <c r="L21" s="668">
        <f t="shared" si="0"/>
        <v>20.678531562499998</v>
      </c>
      <c r="M21" s="40" t="s">
        <v>348</v>
      </c>
      <c r="N21" s="62">
        <f t="shared" si="1"/>
        <v>45748</v>
      </c>
      <c r="P21" s="69" t="s">
        <v>640</v>
      </c>
      <c r="Q21" s="70">
        <f>23.07*0.6</f>
        <v>13.842000000000001</v>
      </c>
      <c r="R21" s="70"/>
      <c r="S21" s="70">
        <v>45.19</v>
      </c>
      <c r="T21" s="70"/>
      <c r="U21" s="57"/>
    </row>
    <row r="22" spans="2:21">
      <c r="B22" s="65" t="s">
        <v>641</v>
      </c>
      <c r="C22" s="11">
        <v>0.93</v>
      </c>
      <c r="D22" s="11">
        <v>28.51</v>
      </c>
      <c r="E22" s="12">
        <v>0.45</v>
      </c>
      <c r="F22" s="11">
        <v>0.6</v>
      </c>
      <c r="G22" s="11">
        <v>19.16</v>
      </c>
      <c r="H22" s="11">
        <v>10.34</v>
      </c>
      <c r="I22" s="12">
        <v>0.45</v>
      </c>
      <c r="J22" s="11">
        <v>0.8</v>
      </c>
      <c r="K22" s="66">
        <f>13.7425</f>
        <v>13.7425</v>
      </c>
      <c r="L22" s="668">
        <f t="shared" si="0"/>
        <v>30.901030474999999</v>
      </c>
      <c r="M22" s="40" t="s">
        <v>348</v>
      </c>
      <c r="N22" s="62">
        <f t="shared" si="1"/>
        <v>45748</v>
      </c>
      <c r="P22" s="69" t="s">
        <v>642</v>
      </c>
      <c r="Q22" s="70">
        <f>28.08*0.6</f>
        <v>16.847999999999999</v>
      </c>
      <c r="R22" s="70">
        <f>54.78*0.6</f>
        <v>32.868000000000002</v>
      </c>
      <c r="S22" s="70">
        <v>58.6</v>
      </c>
      <c r="T22" s="70">
        <v>43.48</v>
      </c>
      <c r="U22" s="57"/>
    </row>
    <row r="23" spans="2:21">
      <c r="B23" s="65" t="s">
        <v>643</v>
      </c>
      <c r="C23" s="11">
        <v>0.93</v>
      </c>
      <c r="D23" s="11">
        <v>67.790000000000006</v>
      </c>
      <c r="E23" s="12">
        <v>0.45</v>
      </c>
      <c r="F23" s="11">
        <v>0.6</v>
      </c>
      <c r="G23" s="11">
        <v>127.36</v>
      </c>
      <c r="H23" s="11">
        <v>27.37</v>
      </c>
      <c r="I23" s="12">
        <v>0.45</v>
      </c>
      <c r="J23" s="11">
        <v>0.8</v>
      </c>
      <c r="K23" s="66">
        <f>25.2425</f>
        <v>25.2425</v>
      </c>
      <c r="L23" s="668">
        <f t="shared" si="0"/>
        <v>81.605020524999986</v>
      </c>
      <c r="M23" s="40" t="s">
        <v>348</v>
      </c>
      <c r="N23" s="62">
        <f t="shared" si="1"/>
        <v>45748</v>
      </c>
      <c r="P23" s="69" t="s">
        <v>644</v>
      </c>
      <c r="Q23" s="70">
        <f>76.1*0.6</f>
        <v>45.66</v>
      </c>
      <c r="R23" s="70">
        <f>94.83*0.6</f>
        <v>56.897999999999996</v>
      </c>
      <c r="S23" s="70">
        <v>138.01</v>
      </c>
      <c r="T23" s="70"/>
      <c r="U23" s="57"/>
    </row>
    <row r="24" spans="2:21" ht="15.75" thickBot="1">
      <c r="B24" s="71" t="s">
        <v>645</v>
      </c>
      <c r="C24" s="72">
        <v>0.84</v>
      </c>
      <c r="D24" s="72">
        <v>75.14</v>
      </c>
      <c r="E24" s="73">
        <v>0.45</v>
      </c>
      <c r="F24" s="72">
        <v>0.69</v>
      </c>
      <c r="G24" s="74">
        <v>176.7</v>
      </c>
      <c r="H24" s="72">
        <v>42.62</v>
      </c>
      <c r="I24" s="15">
        <v>0.45</v>
      </c>
      <c r="J24" s="14">
        <v>0.8</v>
      </c>
      <c r="K24" s="75">
        <f>31.05</f>
        <v>31.05</v>
      </c>
      <c r="L24" s="669">
        <f t="shared" si="0"/>
        <v>102.68820974999998</v>
      </c>
      <c r="M24" s="40" t="s">
        <v>348</v>
      </c>
      <c r="N24" s="62">
        <f t="shared" si="1"/>
        <v>45748</v>
      </c>
      <c r="P24" s="69" t="s">
        <v>646</v>
      </c>
      <c r="Q24" s="70">
        <f>128.8*0.6</f>
        <v>77.28</v>
      </c>
      <c r="R24" s="70">
        <f>173.52*0.6</f>
        <v>104.11200000000001</v>
      </c>
      <c r="S24" s="70">
        <v>212.98</v>
      </c>
      <c r="T24" s="70">
        <v>64.849999999999994</v>
      </c>
      <c r="U24" s="57"/>
    </row>
    <row r="25" spans="2:21">
      <c r="M25" s="40" t="s">
        <v>348</v>
      </c>
      <c r="N25" s="62">
        <f t="shared" si="1"/>
        <v>45748</v>
      </c>
      <c r="P25" s="69" t="s">
        <v>647</v>
      </c>
      <c r="Q25" s="70"/>
      <c r="R25" s="70"/>
      <c r="S25" s="70">
        <v>233.76</v>
      </c>
      <c r="T25" s="70">
        <v>155.22999999999999</v>
      </c>
      <c r="U25" s="57"/>
    </row>
    <row r="26" spans="2:21" ht="15.75" thickBot="1">
      <c r="M26" s="40" t="s">
        <v>348</v>
      </c>
      <c r="N26" s="62">
        <f t="shared" si="1"/>
        <v>45748</v>
      </c>
      <c r="P26" s="76" t="s">
        <v>648</v>
      </c>
      <c r="Q26" s="77"/>
      <c r="R26" s="77"/>
      <c r="S26" s="77"/>
      <c r="T26" s="77">
        <v>456.56</v>
      </c>
      <c r="U26" s="57"/>
    </row>
    <row r="27" spans="2:21" ht="30.75" thickBot="1">
      <c r="B27" s="78" t="s">
        <v>649</v>
      </c>
      <c r="C27" s="79" t="s">
        <v>611</v>
      </c>
      <c r="D27" s="79" t="s">
        <v>612</v>
      </c>
      <c r="E27" s="79" t="s">
        <v>613</v>
      </c>
      <c r="F27" s="79" t="s">
        <v>611</v>
      </c>
      <c r="G27" s="79" t="s">
        <v>614</v>
      </c>
      <c r="H27" s="79" t="s">
        <v>615</v>
      </c>
      <c r="I27" s="79" t="s">
        <v>613</v>
      </c>
      <c r="J27" s="79" t="s">
        <v>611</v>
      </c>
      <c r="K27" s="79" t="s">
        <v>616</v>
      </c>
      <c r="L27" s="670" t="s">
        <v>617</v>
      </c>
      <c r="M27" s="40" t="s">
        <v>348</v>
      </c>
      <c r="N27" s="62">
        <f t="shared" si="1"/>
        <v>45748</v>
      </c>
      <c r="P27" s="80"/>
      <c r="Q27" s="81"/>
      <c r="R27" s="81"/>
      <c r="S27" s="81"/>
      <c r="T27" s="81"/>
      <c r="U27" s="57"/>
    </row>
    <row r="28" spans="2:21">
      <c r="B28" s="65" t="s">
        <v>650</v>
      </c>
      <c r="C28" s="11">
        <v>1.04</v>
      </c>
      <c r="D28" s="11">
        <v>15.72</v>
      </c>
      <c r="E28" s="12">
        <v>0.45</v>
      </c>
      <c r="F28" s="11">
        <v>0.36</v>
      </c>
      <c r="G28" s="11">
        <v>8.81</v>
      </c>
      <c r="H28" s="11">
        <v>4.97</v>
      </c>
      <c r="I28" s="12">
        <v>0.45</v>
      </c>
      <c r="J28" s="11">
        <v>1</v>
      </c>
      <c r="K28" s="82">
        <v>5.6004999999999994</v>
      </c>
      <c r="L28" s="624">
        <f t="shared" ref="L28:L33" si="2">(C28*(D28-D28*E28)+F28*((G28+H28)-(G28+H28)*I28)/2+J28*K28)*1.015</f>
        <v>16.195908399999997</v>
      </c>
      <c r="M28" s="40" t="s">
        <v>348</v>
      </c>
      <c r="N28" s="62">
        <f t="shared" si="1"/>
        <v>45748</v>
      </c>
      <c r="P28" s="83" t="s">
        <v>651</v>
      </c>
      <c r="Q28" s="84">
        <f>125.47</f>
        <v>125.47</v>
      </c>
      <c r="R28" s="81"/>
      <c r="S28" s="81"/>
      <c r="T28" s="81"/>
      <c r="U28" s="57"/>
    </row>
    <row r="29" spans="2:21">
      <c r="B29" s="65" t="s">
        <v>652</v>
      </c>
      <c r="C29" s="11">
        <v>1</v>
      </c>
      <c r="D29" s="11">
        <v>24.75</v>
      </c>
      <c r="E29" s="12">
        <v>0.45</v>
      </c>
      <c r="F29" s="11">
        <v>0.47</v>
      </c>
      <c r="G29" s="11">
        <v>16.37</v>
      </c>
      <c r="H29" s="11">
        <v>9.08</v>
      </c>
      <c r="I29" s="12">
        <v>0.45</v>
      </c>
      <c r="J29" s="11">
        <v>0.8</v>
      </c>
      <c r="K29" s="82">
        <v>8.8779999999999983</v>
      </c>
      <c r="L29" s="624">
        <f t="shared" si="2"/>
        <v>24.364377187499993</v>
      </c>
      <c r="M29" s="40" t="s">
        <v>348</v>
      </c>
      <c r="N29" s="62">
        <f t="shared" si="1"/>
        <v>45748</v>
      </c>
      <c r="P29" s="85" t="s">
        <v>653</v>
      </c>
      <c r="Q29" s="70">
        <v>12.1</v>
      </c>
      <c r="R29" s="81"/>
      <c r="S29" s="81"/>
      <c r="T29" s="81"/>
      <c r="U29" s="57"/>
    </row>
    <row r="30" spans="2:21">
      <c r="B30" s="65" t="s">
        <v>654</v>
      </c>
      <c r="C30" s="11">
        <v>0.93</v>
      </c>
      <c r="D30" s="11">
        <v>35.39</v>
      </c>
      <c r="E30" s="12">
        <v>0.45</v>
      </c>
      <c r="F30" s="11">
        <v>0.6</v>
      </c>
      <c r="G30" s="11">
        <v>29.41</v>
      </c>
      <c r="H30" s="11">
        <v>15.22</v>
      </c>
      <c r="I30" s="12">
        <v>0.45</v>
      </c>
      <c r="J30" s="11">
        <v>0.8</v>
      </c>
      <c r="K30" s="82">
        <v>13.742499999999998</v>
      </c>
      <c r="L30" s="624">
        <f t="shared" si="2"/>
        <v>37.006834024999996</v>
      </c>
      <c r="M30" s="40" t="s">
        <v>348</v>
      </c>
      <c r="N30" s="62">
        <f t="shared" si="1"/>
        <v>45748</v>
      </c>
      <c r="P30" s="85" t="s">
        <v>655</v>
      </c>
      <c r="Q30" s="70">
        <v>15.92</v>
      </c>
      <c r="R30" s="81"/>
      <c r="S30" s="81"/>
      <c r="T30" s="81"/>
      <c r="U30" s="57"/>
    </row>
    <row r="31" spans="2:21" ht="15.75" thickBot="1">
      <c r="B31" s="65" t="s">
        <v>656</v>
      </c>
      <c r="C31" s="11">
        <v>0.93</v>
      </c>
      <c r="D31" s="11">
        <v>68.010000000000005</v>
      </c>
      <c r="E31" s="12">
        <v>0.45</v>
      </c>
      <c r="F31" s="11">
        <v>0.6</v>
      </c>
      <c r="G31" s="11">
        <v>98.47</v>
      </c>
      <c r="H31" s="11">
        <v>34.979999999999997</v>
      </c>
      <c r="I31" s="12">
        <v>0.45</v>
      </c>
      <c r="J31" s="11">
        <v>0.8</v>
      </c>
      <c r="K31" s="82">
        <v>25.242499999999996</v>
      </c>
      <c r="L31" s="624">
        <f t="shared" si="2"/>
        <v>78.155370474999998</v>
      </c>
      <c r="M31" s="40" t="s">
        <v>348</v>
      </c>
      <c r="N31" s="62">
        <f t="shared" si="1"/>
        <v>45748</v>
      </c>
      <c r="P31" s="86" t="s">
        <v>657</v>
      </c>
      <c r="Q31" s="77">
        <v>31.75</v>
      </c>
      <c r="R31" s="81"/>
      <c r="S31" s="81"/>
      <c r="T31" s="81"/>
      <c r="U31" s="57"/>
    </row>
    <row r="32" spans="2:21">
      <c r="B32" s="65" t="s">
        <v>658</v>
      </c>
      <c r="C32" s="11">
        <v>0.84</v>
      </c>
      <c r="D32" s="11">
        <v>91.86</v>
      </c>
      <c r="E32" s="12">
        <v>0.45</v>
      </c>
      <c r="F32" s="11">
        <v>0.69</v>
      </c>
      <c r="G32" s="11">
        <v>112.09</v>
      </c>
      <c r="H32" s="11">
        <v>51.19</v>
      </c>
      <c r="I32" s="12">
        <v>0.45</v>
      </c>
      <c r="J32" s="11">
        <v>0.8</v>
      </c>
      <c r="K32" s="82">
        <v>31.049999999999997</v>
      </c>
      <c r="L32" s="624">
        <f t="shared" si="2"/>
        <v>99.735625499999983</v>
      </c>
      <c r="M32" s="40" t="s">
        <v>348</v>
      </c>
      <c r="N32" s="62">
        <f t="shared" si="1"/>
        <v>45748</v>
      </c>
      <c r="P32" s="57"/>
      <c r="Q32" s="57"/>
      <c r="R32" s="57"/>
      <c r="S32" s="57"/>
      <c r="T32" s="57"/>
      <c r="U32" s="57"/>
    </row>
    <row r="33" spans="2:21" ht="15.75" thickBot="1">
      <c r="B33" s="71" t="s">
        <v>659</v>
      </c>
      <c r="C33" s="14">
        <v>0.84</v>
      </c>
      <c r="D33" s="14">
        <v>209.75</v>
      </c>
      <c r="E33" s="15">
        <v>0.45</v>
      </c>
      <c r="F33" s="14">
        <v>0.69</v>
      </c>
      <c r="G33" s="14">
        <v>220.19</v>
      </c>
      <c r="H33" s="14">
        <v>120.98</v>
      </c>
      <c r="I33" s="15">
        <v>0.45</v>
      </c>
      <c r="J33" s="14">
        <v>0.8</v>
      </c>
      <c r="K33" s="87">
        <v>41.169999999999995</v>
      </c>
      <c r="L33" s="646">
        <f t="shared" si="2"/>
        <v>197.49617011249998</v>
      </c>
      <c r="M33" s="40" t="s">
        <v>348</v>
      </c>
      <c r="N33" s="62">
        <f t="shared" si="1"/>
        <v>45748</v>
      </c>
      <c r="P33" s="57"/>
      <c r="Q33" s="57"/>
      <c r="R33" s="57"/>
      <c r="S33" s="57"/>
      <c r="T33" s="57"/>
      <c r="U33" s="57"/>
    </row>
    <row r="34" spans="2:21" ht="15.75" thickBot="1">
      <c r="M34" s="40" t="s">
        <v>348</v>
      </c>
      <c r="N34" s="62">
        <f t="shared" si="1"/>
        <v>45748</v>
      </c>
    </row>
    <row r="35" spans="2:21" ht="45">
      <c r="B35" s="88" t="s">
        <v>660</v>
      </c>
      <c r="C35" s="89" t="s">
        <v>611</v>
      </c>
      <c r="D35" s="89" t="s">
        <v>612</v>
      </c>
      <c r="E35" s="89" t="s">
        <v>613</v>
      </c>
      <c r="F35" s="89" t="s">
        <v>611</v>
      </c>
      <c r="G35" s="89" t="s">
        <v>614</v>
      </c>
      <c r="H35" s="89" t="s">
        <v>615</v>
      </c>
      <c r="I35" s="89" t="s">
        <v>613</v>
      </c>
      <c r="J35" s="89" t="s">
        <v>611</v>
      </c>
      <c r="K35" s="90" t="s">
        <v>616</v>
      </c>
      <c r="L35" s="671" t="s">
        <v>617</v>
      </c>
      <c r="M35" s="40" t="s">
        <v>348</v>
      </c>
      <c r="N35" s="62">
        <f t="shared" si="1"/>
        <v>45748</v>
      </c>
    </row>
    <row r="36" spans="2:21">
      <c r="B36" s="65" t="s">
        <v>661</v>
      </c>
      <c r="C36" s="11">
        <v>1.04</v>
      </c>
      <c r="D36" s="11">
        <v>35.65</v>
      </c>
      <c r="E36" s="12">
        <v>0.45</v>
      </c>
      <c r="F36" s="11">
        <v>0.36</v>
      </c>
      <c r="G36" s="11">
        <v>28.3</v>
      </c>
      <c r="H36" s="11">
        <v>14.11</v>
      </c>
      <c r="I36" s="12">
        <v>0.45</v>
      </c>
      <c r="J36" s="11">
        <v>1</v>
      </c>
      <c r="K36" s="82">
        <v>5.6004999999999994</v>
      </c>
      <c r="L36" s="624">
        <f t="shared" ref="L36:L41" si="3">(C36*(D36-D36*E36)+F36*((G36+H36)-(G36+H36)*I36)/2+J36*K36)*1.015</f>
        <v>30.643753349999997</v>
      </c>
      <c r="M36" s="40" t="s">
        <v>348</v>
      </c>
      <c r="N36" s="62">
        <f t="shared" si="1"/>
        <v>45748</v>
      </c>
    </row>
    <row r="37" spans="2:21">
      <c r="B37" s="65" t="s">
        <v>662</v>
      </c>
      <c r="C37" s="11">
        <v>1</v>
      </c>
      <c r="D37" s="11">
        <v>59.73</v>
      </c>
      <c r="E37" s="12">
        <v>0.45</v>
      </c>
      <c r="F37" s="11">
        <v>0.47</v>
      </c>
      <c r="G37" s="11">
        <v>46.01</v>
      </c>
      <c r="H37" s="11">
        <v>18.43</v>
      </c>
      <c r="I37" s="12">
        <v>0.45</v>
      </c>
      <c r="J37" s="11">
        <v>0.8</v>
      </c>
      <c r="K37" s="82">
        <v>8.8779999999999983</v>
      </c>
      <c r="L37" s="624">
        <f t="shared" si="3"/>
        <v>49.007011549999994</v>
      </c>
      <c r="M37" s="40" t="s">
        <v>348</v>
      </c>
      <c r="N37" s="62">
        <f t="shared" si="1"/>
        <v>45748</v>
      </c>
    </row>
    <row r="38" spans="2:21">
      <c r="B38" s="65" t="s">
        <v>663</v>
      </c>
      <c r="C38" s="11">
        <v>0.93</v>
      </c>
      <c r="D38" s="11">
        <v>88.06</v>
      </c>
      <c r="E38" s="12">
        <v>0.45</v>
      </c>
      <c r="F38" s="11">
        <v>0.6</v>
      </c>
      <c r="G38" s="11">
        <v>66.239999999999995</v>
      </c>
      <c r="H38" s="11">
        <v>37.049999999999997</v>
      </c>
      <c r="I38" s="12">
        <v>0.45</v>
      </c>
      <c r="J38" s="11">
        <v>0.8</v>
      </c>
      <c r="K38" s="82">
        <v>13.742499999999998</v>
      </c>
      <c r="L38" s="624">
        <f t="shared" si="3"/>
        <v>74.175733099999988</v>
      </c>
      <c r="M38" s="40" t="s">
        <v>348</v>
      </c>
      <c r="N38" s="62">
        <f t="shared" si="1"/>
        <v>45748</v>
      </c>
    </row>
    <row r="39" spans="2:21">
      <c r="B39" s="65" t="s">
        <v>664</v>
      </c>
      <c r="C39" s="11">
        <v>0.93</v>
      </c>
      <c r="D39" s="11">
        <v>121.99</v>
      </c>
      <c r="E39" s="12">
        <v>0.45</v>
      </c>
      <c r="F39" s="11">
        <v>0.6</v>
      </c>
      <c r="G39" s="11">
        <v>215.98</v>
      </c>
      <c r="H39" s="11">
        <v>88.59</v>
      </c>
      <c r="I39" s="12">
        <v>0.45</v>
      </c>
      <c r="J39" s="11">
        <v>0.8</v>
      </c>
      <c r="K39" s="82">
        <v>25.242499999999996</v>
      </c>
      <c r="L39" s="624">
        <f t="shared" si="3"/>
        <v>134.83862402499997</v>
      </c>
      <c r="M39" s="40" t="s">
        <v>348</v>
      </c>
      <c r="N39" s="62">
        <f t="shared" si="1"/>
        <v>45748</v>
      </c>
    </row>
    <row r="40" spans="2:21">
      <c r="B40" s="65" t="s">
        <v>665</v>
      </c>
      <c r="C40" s="11">
        <v>0.84</v>
      </c>
      <c r="D40" s="11">
        <v>147.31</v>
      </c>
      <c r="E40" s="12">
        <v>0.45</v>
      </c>
      <c r="F40" s="11">
        <v>0.69</v>
      </c>
      <c r="G40" s="11">
        <v>349.72</v>
      </c>
      <c r="H40" s="11">
        <v>106.98</v>
      </c>
      <c r="I40" s="12">
        <v>0.45</v>
      </c>
      <c r="J40" s="11">
        <v>0.8</v>
      </c>
      <c r="K40" s="82">
        <v>31.049999999999997</v>
      </c>
      <c r="L40" s="624">
        <f t="shared" si="3"/>
        <v>182.24938567499998</v>
      </c>
      <c r="M40" s="40" t="s">
        <v>348</v>
      </c>
      <c r="N40" s="62">
        <f t="shared" si="1"/>
        <v>45748</v>
      </c>
    </row>
    <row r="41" spans="2:21" ht="15.75" thickBot="1">
      <c r="B41" s="71" t="s">
        <v>666</v>
      </c>
      <c r="C41" s="14">
        <v>0.84</v>
      </c>
      <c r="D41" s="14">
        <v>226.48</v>
      </c>
      <c r="E41" s="15">
        <v>0.45</v>
      </c>
      <c r="F41" s="14">
        <v>0.69</v>
      </c>
      <c r="G41" s="14">
        <v>446.68</v>
      </c>
      <c r="H41" s="14">
        <v>183.45</v>
      </c>
      <c r="I41" s="15">
        <v>0.45</v>
      </c>
      <c r="J41" s="14">
        <v>0.8</v>
      </c>
      <c r="K41" s="87">
        <v>41.169999999999995</v>
      </c>
      <c r="L41" s="646">
        <f t="shared" si="3"/>
        <v>260.99398141249992</v>
      </c>
      <c r="M41" s="40" t="s">
        <v>348</v>
      </c>
      <c r="N41" s="62">
        <f t="shared" si="1"/>
        <v>45748</v>
      </c>
    </row>
    <row r="42" spans="2:21">
      <c r="M42" s="40" t="s">
        <v>348</v>
      </c>
      <c r="N42" s="62">
        <f t="shared" si="1"/>
        <v>45748</v>
      </c>
    </row>
    <row r="43" spans="2:21" ht="15.75" thickBot="1">
      <c r="M43" s="40" t="s">
        <v>348</v>
      </c>
      <c r="N43" s="62">
        <f t="shared" si="1"/>
        <v>45748</v>
      </c>
    </row>
    <row r="44" spans="2:21" ht="45">
      <c r="B44" s="78" t="s">
        <v>667</v>
      </c>
      <c r="C44" s="79" t="s">
        <v>611</v>
      </c>
      <c r="D44" s="79" t="s">
        <v>612</v>
      </c>
      <c r="E44" s="79" t="s">
        <v>613</v>
      </c>
      <c r="F44" s="79" t="s">
        <v>611</v>
      </c>
      <c r="G44" s="79" t="s">
        <v>614</v>
      </c>
      <c r="H44" s="79" t="s">
        <v>615</v>
      </c>
      <c r="I44" s="79" t="s">
        <v>613</v>
      </c>
      <c r="J44" s="79" t="s">
        <v>611</v>
      </c>
      <c r="K44" s="79" t="s">
        <v>616</v>
      </c>
      <c r="L44" s="670" t="s">
        <v>617</v>
      </c>
      <c r="M44" s="40" t="s">
        <v>348</v>
      </c>
      <c r="N44" s="62">
        <f t="shared" si="1"/>
        <v>45748</v>
      </c>
    </row>
    <row r="45" spans="2:21">
      <c r="B45" s="65" t="s">
        <v>668</v>
      </c>
      <c r="C45" s="82">
        <v>0.93</v>
      </c>
      <c r="D45" s="82">
        <v>26.39</v>
      </c>
      <c r="E45" s="82">
        <v>0.45</v>
      </c>
      <c r="F45" s="82">
        <v>0.6</v>
      </c>
      <c r="G45" s="91">
        <v>14.19</v>
      </c>
      <c r="H45" s="82">
        <v>7.82</v>
      </c>
      <c r="I45" s="82">
        <v>0.45</v>
      </c>
      <c r="J45" s="82">
        <v>0.8</v>
      </c>
      <c r="K45" s="82">
        <f>13.7425</f>
        <v>13.7425</v>
      </c>
      <c r="L45" s="672">
        <f t="shared" ref="L45:L51" si="4">(C45*(D45-D45*E45)+F45*((G45+H45)-(G45+H45)*I45)/2+J45*K45)*1.015</f>
        <v>28.545997024999995</v>
      </c>
      <c r="M45" s="40" t="s">
        <v>348</v>
      </c>
      <c r="N45" s="62">
        <f t="shared" si="1"/>
        <v>45748</v>
      </c>
    </row>
    <row r="46" spans="2:21">
      <c r="B46" s="65" t="s">
        <v>669</v>
      </c>
      <c r="C46" s="82">
        <v>0.84</v>
      </c>
      <c r="D46" s="82">
        <v>55.35</v>
      </c>
      <c r="E46" s="82">
        <v>0.45</v>
      </c>
      <c r="F46" s="82">
        <v>0.69</v>
      </c>
      <c r="G46" s="91">
        <v>37.82</v>
      </c>
      <c r="H46" s="82">
        <v>21.29</v>
      </c>
      <c r="I46" s="82">
        <f t="shared" ref="I46:I51" si="5">I45</f>
        <v>0.45</v>
      </c>
      <c r="J46" s="82">
        <v>0.8</v>
      </c>
      <c r="K46" s="82">
        <v>31.049999999999997</v>
      </c>
      <c r="L46" s="672">
        <f t="shared" si="4"/>
        <v>62.55223983749999</v>
      </c>
      <c r="M46" s="40" t="s">
        <v>348</v>
      </c>
      <c r="N46" s="62">
        <f t="shared" si="1"/>
        <v>45748</v>
      </c>
    </row>
    <row r="47" spans="2:21">
      <c r="B47" s="65" t="s">
        <v>670</v>
      </c>
      <c r="C47" s="82">
        <v>0.84</v>
      </c>
      <c r="D47" s="82">
        <v>87.22</v>
      </c>
      <c r="E47" s="82">
        <v>0.45</v>
      </c>
      <c r="F47" s="82">
        <v>0.69</v>
      </c>
      <c r="G47" s="91">
        <v>65.64</v>
      </c>
      <c r="H47" s="82">
        <v>36.630000000000003</v>
      </c>
      <c r="I47" s="82">
        <f t="shared" si="5"/>
        <v>0.45</v>
      </c>
      <c r="J47" s="82">
        <v>0.8</v>
      </c>
      <c r="K47" s="82">
        <v>41.169999999999995</v>
      </c>
      <c r="L47" s="672">
        <f t="shared" si="4"/>
        <v>94.026933087499984</v>
      </c>
      <c r="M47" s="40" t="s">
        <v>348</v>
      </c>
      <c r="N47" s="62">
        <f t="shared" si="1"/>
        <v>45748</v>
      </c>
    </row>
    <row r="48" spans="2:21">
      <c r="B48" s="65" t="s">
        <v>671</v>
      </c>
      <c r="C48" s="82">
        <v>0.8</v>
      </c>
      <c r="D48" s="82">
        <f>255.96/2</f>
        <v>127.98</v>
      </c>
      <c r="E48" s="82">
        <v>0.45</v>
      </c>
      <c r="F48" s="82">
        <v>0.6</v>
      </c>
      <c r="G48" s="91">
        <v>186.2</v>
      </c>
      <c r="H48" s="82">
        <v>99.99</v>
      </c>
      <c r="I48" s="82">
        <f t="shared" si="5"/>
        <v>0.45</v>
      </c>
      <c r="J48" s="82">
        <v>0.8</v>
      </c>
      <c r="K48" s="82">
        <v>48.3</v>
      </c>
      <c r="L48" s="672">
        <f t="shared" si="4"/>
        <v>144.30513825</v>
      </c>
      <c r="M48" s="40" t="s">
        <v>348</v>
      </c>
      <c r="N48" s="62">
        <f t="shared" si="1"/>
        <v>45748</v>
      </c>
    </row>
    <row r="49" spans="2:14">
      <c r="B49" s="65" t="s">
        <v>672</v>
      </c>
      <c r="C49" s="82">
        <v>0.75</v>
      </c>
      <c r="D49" s="82">
        <f>398.82/2</f>
        <v>199.41</v>
      </c>
      <c r="E49" s="82">
        <v>0.45</v>
      </c>
      <c r="F49" s="82">
        <v>0.55000000000000004</v>
      </c>
      <c r="G49" s="91">
        <v>664.81</v>
      </c>
      <c r="H49" s="82">
        <v>153.06</v>
      </c>
      <c r="I49" s="82">
        <f t="shared" si="5"/>
        <v>0.45</v>
      </c>
      <c r="J49" s="82">
        <v>0.8</v>
      </c>
      <c r="K49" s="82">
        <v>57.499999999999993</v>
      </c>
      <c r="L49" s="672">
        <f t="shared" si="4"/>
        <v>255.73885443749995</v>
      </c>
      <c r="M49" s="40" t="s">
        <v>348</v>
      </c>
      <c r="N49" s="62">
        <f t="shared" si="1"/>
        <v>45748</v>
      </c>
    </row>
    <row r="50" spans="2:14">
      <c r="B50" s="65" t="s">
        <v>673</v>
      </c>
      <c r="C50" s="11">
        <v>0.75</v>
      </c>
      <c r="D50" s="92">
        <f>658.98/2</f>
        <v>329.49</v>
      </c>
      <c r="E50" s="82">
        <v>0.45</v>
      </c>
      <c r="F50" s="11">
        <v>0.55000000000000004</v>
      </c>
      <c r="G50" s="92">
        <v>1097.3900000000001</v>
      </c>
      <c r="H50" s="11">
        <v>918.57</v>
      </c>
      <c r="I50" s="82">
        <f t="shared" si="5"/>
        <v>0.45</v>
      </c>
      <c r="J50" s="11">
        <v>0.8</v>
      </c>
      <c r="K50" s="82">
        <v>69</v>
      </c>
      <c r="L50" s="624">
        <f t="shared" si="4"/>
        <v>503.46900362499997</v>
      </c>
      <c r="M50" s="40" t="s">
        <v>348</v>
      </c>
      <c r="N50" s="62">
        <f t="shared" si="1"/>
        <v>45748</v>
      </c>
    </row>
    <row r="51" spans="2:14" ht="15.75" thickBot="1">
      <c r="B51" s="71" t="s">
        <v>674</v>
      </c>
      <c r="C51" s="14">
        <v>0.75</v>
      </c>
      <c r="D51" s="93">
        <f>1558.93/3</f>
        <v>519.64333333333332</v>
      </c>
      <c r="E51" s="87">
        <v>0.45</v>
      </c>
      <c r="F51" s="14">
        <v>0.55000000000000004</v>
      </c>
      <c r="G51" s="14">
        <v>1483.72</v>
      </c>
      <c r="H51" s="93">
        <v>1483.72</v>
      </c>
      <c r="I51" s="87">
        <f t="shared" si="5"/>
        <v>0.45</v>
      </c>
      <c r="J51" s="14">
        <v>0.8</v>
      </c>
      <c r="K51" s="87">
        <v>69</v>
      </c>
      <c r="L51" s="646">
        <f t="shared" si="4"/>
        <v>729.15384762500003</v>
      </c>
      <c r="M51" s="40" t="s">
        <v>348</v>
      </c>
      <c r="N51" s="62">
        <f t="shared" si="1"/>
        <v>45748</v>
      </c>
    </row>
    <row r="52" spans="2:14">
      <c r="M52" s="40" t="s">
        <v>348</v>
      </c>
      <c r="N52" s="62">
        <f t="shared" si="1"/>
        <v>45748</v>
      </c>
    </row>
    <row r="53" spans="2:14" ht="15.75" thickBot="1">
      <c r="M53" s="40" t="s">
        <v>348</v>
      </c>
      <c r="N53" s="62">
        <f t="shared" si="1"/>
        <v>45748</v>
      </c>
    </row>
    <row r="54" spans="2:14" ht="45.75" thickBot="1">
      <c r="B54" s="54" t="s">
        <v>675</v>
      </c>
      <c r="C54" s="55" t="s">
        <v>611</v>
      </c>
      <c r="D54" s="55" t="s">
        <v>612</v>
      </c>
      <c r="E54" s="55" t="s">
        <v>613</v>
      </c>
      <c r="F54" s="55" t="s">
        <v>611</v>
      </c>
      <c r="G54" s="55" t="s">
        <v>614</v>
      </c>
      <c r="H54" s="55" t="s">
        <v>615</v>
      </c>
      <c r="I54" s="55" t="s">
        <v>613</v>
      </c>
      <c r="J54" s="55" t="s">
        <v>611</v>
      </c>
      <c r="K54" s="56" t="s">
        <v>616</v>
      </c>
      <c r="L54" s="666" t="s">
        <v>617</v>
      </c>
      <c r="M54" s="40" t="s">
        <v>348</v>
      </c>
      <c r="N54" s="62">
        <f t="shared" si="1"/>
        <v>45748</v>
      </c>
    </row>
    <row r="55" spans="2:14">
      <c r="B55" s="58" t="s">
        <v>676</v>
      </c>
      <c r="C55" s="59">
        <v>0.93</v>
      </c>
      <c r="D55" s="59">
        <v>17.95</v>
      </c>
      <c r="E55" s="60">
        <v>0.45</v>
      </c>
      <c r="F55" s="59">
        <v>0.6</v>
      </c>
      <c r="G55" s="91">
        <v>14.19</v>
      </c>
      <c r="H55" s="82">
        <v>7.82</v>
      </c>
      <c r="I55" s="60">
        <v>0.45</v>
      </c>
      <c r="J55" s="59">
        <v>0.8</v>
      </c>
      <c r="K55" s="63">
        <v>13.742499999999998</v>
      </c>
      <c r="L55" s="667">
        <f>(C55*(D55-D55*E55)+F55*((G55+H55)-(G55+H55)*I55)/2+J55*K55)*1.015</f>
        <v>24.164181124999995</v>
      </c>
      <c r="M55" s="40" t="s">
        <v>348</v>
      </c>
      <c r="N55" s="62">
        <f t="shared" si="1"/>
        <v>45748</v>
      </c>
    </row>
    <row r="56" spans="2:14">
      <c r="B56" s="65" t="s">
        <v>677</v>
      </c>
      <c r="C56" s="11">
        <v>0.84</v>
      </c>
      <c r="D56" s="11">
        <v>37.01</v>
      </c>
      <c r="E56" s="12">
        <v>0.45</v>
      </c>
      <c r="F56" s="11">
        <v>0.69</v>
      </c>
      <c r="G56" s="91">
        <v>37.82</v>
      </c>
      <c r="H56" s="82">
        <v>21.29</v>
      </c>
      <c r="I56" s="12">
        <v>0.45</v>
      </c>
      <c r="J56" s="11">
        <v>0.8</v>
      </c>
      <c r="K56" s="66">
        <v>31.049999999999997</v>
      </c>
      <c r="L56" s="668">
        <f>(C56*(D56-D56*E56)+F56*((G56+H56)-(G56+H56)*I56)/2+J56*K56)*1.015</f>
        <v>53.95206363749999</v>
      </c>
      <c r="M56" s="40" t="s">
        <v>348</v>
      </c>
      <c r="N56" s="62">
        <f t="shared" si="1"/>
        <v>45748</v>
      </c>
    </row>
    <row r="57" spans="2:14">
      <c r="B57" s="65" t="s">
        <v>678</v>
      </c>
      <c r="C57" s="11">
        <v>0.84</v>
      </c>
      <c r="D57" s="11">
        <v>58.05</v>
      </c>
      <c r="E57" s="12">
        <v>0.45</v>
      </c>
      <c r="F57" s="11">
        <v>0.69</v>
      </c>
      <c r="G57" s="91">
        <v>65.64</v>
      </c>
      <c r="H57" s="82">
        <v>36.630000000000003</v>
      </c>
      <c r="I57" s="12">
        <f>I56</f>
        <v>0.45</v>
      </c>
      <c r="J57" s="11">
        <v>0.8</v>
      </c>
      <c r="K57" s="66">
        <v>41.169999999999995</v>
      </c>
      <c r="L57" s="668">
        <f>(C57*(D57-D57*E57)+F57*((G57+H57)-(G57+H57)*I57)/2+J57*K57)*1.015</f>
        <v>80.348244987499996</v>
      </c>
      <c r="M57" s="40" t="s">
        <v>348</v>
      </c>
      <c r="N57" s="62">
        <f t="shared" si="1"/>
        <v>45748</v>
      </c>
    </row>
    <row r="58" spans="2:14">
      <c r="B58" s="65" t="s">
        <v>679</v>
      </c>
      <c r="C58" s="11">
        <v>0.8</v>
      </c>
      <c r="D58" s="11">
        <f>176.74/2</f>
        <v>88.37</v>
      </c>
      <c r="E58" s="12">
        <v>0.45</v>
      </c>
      <c r="F58" s="11">
        <v>0.6</v>
      </c>
      <c r="G58" s="91">
        <v>186.2</v>
      </c>
      <c r="H58" s="82">
        <v>99.99</v>
      </c>
      <c r="I58" s="12">
        <f>I57</f>
        <v>0.45</v>
      </c>
      <c r="J58" s="11">
        <v>0.8</v>
      </c>
      <c r="K58" s="66">
        <v>48.3</v>
      </c>
      <c r="L58" s="668">
        <f>(C58*(D58-D58*E58)+F58*((G58+H58)-(G58+H58)*I58)/2+J58*K58)*1.015</f>
        <v>126.61531224999999</v>
      </c>
      <c r="M58" s="40" t="s">
        <v>348</v>
      </c>
      <c r="N58" s="62">
        <f t="shared" si="1"/>
        <v>45748</v>
      </c>
    </row>
    <row r="59" spans="2:14">
      <c r="B59" s="65" t="s">
        <v>680</v>
      </c>
      <c r="C59" s="11">
        <v>0.75</v>
      </c>
      <c r="D59" s="23">
        <f>279.3/2</f>
        <v>139.65</v>
      </c>
      <c r="E59" s="12">
        <v>0.45</v>
      </c>
      <c r="F59" s="11">
        <v>0.55000000000000004</v>
      </c>
      <c r="G59" s="91">
        <v>664.81</v>
      </c>
      <c r="H59" s="82">
        <v>153.06</v>
      </c>
      <c r="I59" s="12">
        <f>I58</f>
        <v>0.45</v>
      </c>
      <c r="J59" s="11">
        <v>0.8</v>
      </c>
      <c r="K59" s="66">
        <v>57.499999999999993</v>
      </c>
      <c r="L59" s="668">
        <f>(C59*(D59-D59*E59)+F59*((G59+H59)-(G59+H59)*I59)/2+J59*K59)*1.015</f>
        <v>230.71808943749997</v>
      </c>
      <c r="M59" s="40" t="s">
        <v>348</v>
      </c>
      <c r="N59" s="62">
        <f t="shared" si="1"/>
        <v>45748</v>
      </c>
    </row>
    <row r="60" spans="2:14">
      <c r="M60" s="40" t="s">
        <v>348</v>
      </c>
      <c r="N60" s="62">
        <f t="shared" si="1"/>
        <v>45748</v>
      </c>
    </row>
    <row r="61" spans="2:14" ht="15.75" thickBot="1">
      <c r="M61" s="40" t="s">
        <v>348</v>
      </c>
      <c r="N61" s="62">
        <f t="shared" si="1"/>
        <v>45748</v>
      </c>
    </row>
    <row r="62" spans="2:14" ht="30.75" thickBot="1">
      <c r="B62" s="54" t="s">
        <v>681</v>
      </c>
      <c r="C62" s="55" t="s">
        <v>611</v>
      </c>
      <c r="D62" s="55" t="s">
        <v>612</v>
      </c>
      <c r="E62" s="55" t="s">
        <v>613</v>
      </c>
      <c r="F62" s="55" t="s">
        <v>611</v>
      </c>
      <c r="G62" s="55" t="s">
        <v>614</v>
      </c>
      <c r="H62" s="55" t="s">
        <v>615</v>
      </c>
      <c r="I62" s="55" t="s">
        <v>613</v>
      </c>
      <c r="J62" s="55" t="s">
        <v>611</v>
      </c>
      <c r="K62" s="56" t="s">
        <v>616</v>
      </c>
      <c r="L62" s="666" t="s">
        <v>617</v>
      </c>
      <c r="M62" s="40" t="s">
        <v>348</v>
      </c>
      <c r="N62" s="62">
        <f t="shared" si="1"/>
        <v>45748</v>
      </c>
    </row>
    <row r="63" spans="2:14">
      <c r="B63" s="58" t="s">
        <v>682</v>
      </c>
      <c r="C63" s="59">
        <v>0.93</v>
      </c>
      <c r="D63" s="61">
        <v>93</v>
      </c>
      <c r="E63" s="60">
        <v>0.21</v>
      </c>
      <c r="F63" s="59">
        <v>0.6</v>
      </c>
      <c r="G63" s="59">
        <v>20.77</v>
      </c>
      <c r="H63" s="59">
        <v>11.46</v>
      </c>
      <c r="I63" s="60">
        <v>0.21</v>
      </c>
      <c r="J63" s="59">
        <v>0.8</v>
      </c>
      <c r="K63" s="63">
        <v>13.742499999999998</v>
      </c>
      <c r="L63" s="667">
        <f t="shared" ref="L63:L69" si="6">(C63*(D63-D63*E63)+F63*((G63+H63)-(G63+H63)*I63)/2+J63*K63)*1.015</f>
        <v>88.264004149999991</v>
      </c>
      <c r="M63" s="40" t="s">
        <v>348</v>
      </c>
      <c r="N63" s="62">
        <f t="shared" si="1"/>
        <v>45748</v>
      </c>
    </row>
    <row r="64" spans="2:14">
      <c r="B64" s="65" t="s">
        <v>683</v>
      </c>
      <c r="C64" s="11">
        <v>0.84</v>
      </c>
      <c r="D64" s="61">
        <v>151</v>
      </c>
      <c r="E64" s="60">
        <v>0.21</v>
      </c>
      <c r="F64" s="11">
        <v>0.69</v>
      </c>
      <c r="G64" s="59">
        <v>55.37</v>
      </c>
      <c r="H64" s="59">
        <v>31.18</v>
      </c>
      <c r="I64" s="60">
        <v>0.21</v>
      </c>
      <c r="J64" s="11">
        <v>0.8</v>
      </c>
      <c r="K64" s="66">
        <v>31.049999999999997</v>
      </c>
      <c r="L64" s="668">
        <f t="shared" si="6"/>
        <v>150.86229453749999</v>
      </c>
      <c r="M64" s="40" t="s">
        <v>348</v>
      </c>
      <c r="N64" s="62">
        <f t="shared" si="1"/>
        <v>45748</v>
      </c>
    </row>
    <row r="65" spans="2:21">
      <c r="B65" s="65" t="s">
        <v>684</v>
      </c>
      <c r="C65" s="11">
        <v>0.84</v>
      </c>
      <c r="D65" s="61">
        <v>240</v>
      </c>
      <c r="E65" s="60">
        <v>0.21</v>
      </c>
      <c r="F65" s="11">
        <v>0.69</v>
      </c>
      <c r="G65" s="59">
        <v>96.1</v>
      </c>
      <c r="H65" s="59">
        <v>53.63</v>
      </c>
      <c r="I65" s="60">
        <v>0.21</v>
      </c>
      <c r="J65" s="11">
        <v>0.8</v>
      </c>
      <c r="K65" s="66">
        <v>41.169999999999995</v>
      </c>
      <c r="L65" s="668">
        <f t="shared" si="6"/>
        <v>236.50404517249996</v>
      </c>
      <c r="M65" s="40" t="s">
        <v>348</v>
      </c>
      <c r="N65" s="62">
        <f t="shared" si="1"/>
        <v>45748</v>
      </c>
    </row>
    <row r="66" spans="2:21">
      <c r="B66" s="65" t="s">
        <v>685</v>
      </c>
      <c r="C66" s="11">
        <v>0.8</v>
      </c>
      <c r="D66" s="61">
        <f>907/3</f>
        <v>302.33333333333331</v>
      </c>
      <c r="E66" s="60">
        <v>0.21</v>
      </c>
      <c r="F66" s="11">
        <v>0.6</v>
      </c>
      <c r="G66" s="59">
        <v>231.71</v>
      </c>
      <c r="H66" s="59">
        <v>124.43</v>
      </c>
      <c r="I66" s="60">
        <v>0.21</v>
      </c>
      <c r="J66" s="11">
        <v>0.8</v>
      </c>
      <c r="K66" s="66">
        <v>48.3</v>
      </c>
      <c r="L66" s="668">
        <f t="shared" si="6"/>
        <v>318.83164436666658</v>
      </c>
      <c r="M66" s="40" t="s">
        <v>348</v>
      </c>
      <c r="N66" s="62">
        <f t="shared" si="1"/>
        <v>45748</v>
      </c>
    </row>
    <row r="67" spans="2:21">
      <c r="B67" s="65" t="s">
        <v>686</v>
      </c>
      <c r="C67" s="11">
        <v>0.75</v>
      </c>
      <c r="D67" s="61">
        <f>1370/3</f>
        <v>456.66666666666669</v>
      </c>
      <c r="E67" s="60">
        <v>0.21</v>
      </c>
      <c r="F67" s="11">
        <v>0.55000000000000004</v>
      </c>
      <c r="G67" s="59">
        <v>827.32</v>
      </c>
      <c r="H67" s="59">
        <v>190.47</v>
      </c>
      <c r="I67" s="60">
        <v>0.21</v>
      </c>
      <c r="J67" s="11">
        <v>0.8</v>
      </c>
      <c r="K67" s="66">
        <v>57.499999999999993</v>
      </c>
      <c r="L67" s="668">
        <f t="shared" si="6"/>
        <v>545.75522566249992</v>
      </c>
      <c r="M67" s="40" t="s">
        <v>348</v>
      </c>
      <c r="N67" s="62">
        <f t="shared" si="1"/>
        <v>45748</v>
      </c>
    </row>
    <row r="68" spans="2:21">
      <c r="B68" s="65" t="s">
        <v>687</v>
      </c>
      <c r="C68" s="11">
        <v>0.75</v>
      </c>
      <c r="D68" s="61">
        <f>2362/3</f>
        <v>787.33333333333337</v>
      </c>
      <c r="E68" s="60">
        <v>0.21</v>
      </c>
      <c r="F68" s="11">
        <v>0.55000000000000004</v>
      </c>
      <c r="G68" s="59">
        <v>1365.64</v>
      </c>
      <c r="H68" s="59">
        <v>1143.1099999999999</v>
      </c>
      <c r="I68" s="60">
        <v>0.21</v>
      </c>
      <c r="J68" s="11">
        <v>0.8</v>
      </c>
      <c r="K68" s="66">
        <v>69</v>
      </c>
      <c r="L68" s="668">
        <f t="shared" si="6"/>
        <v>1082.7217515624998</v>
      </c>
      <c r="M68" s="40" t="s">
        <v>348</v>
      </c>
      <c r="N68" s="62">
        <f t="shared" si="1"/>
        <v>45748</v>
      </c>
    </row>
    <row r="69" spans="2:21" ht="15.75" thickBot="1">
      <c r="B69" s="65" t="s">
        <v>688</v>
      </c>
      <c r="C69" s="14">
        <v>0.75</v>
      </c>
      <c r="D69" s="61">
        <f>4046/3</f>
        <v>1348.6666666666667</v>
      </c>
      <c r="E69" s="60">
        <v>0.21</v>
      </c>
      <c r="F69" s="14">
        <v>0.55000000000000004</v>
      </c>
      <c r="G69" s="94">
        <v>5500</v>
      </c>
      <c r="H69" s="94">
        <v>1385.79</v>
      </c>
      <c r="I69" s="60">
        <v>0.21</v>
      </c>
      <c r="J69" s="14">
        <v>0.8</v>
      </c>
      <c r="K69" s="75">
        <v>69</v>
      </c>
      <c r="L69" s="669">
        <f t="shared" si="6"/>
        <v>2385.4762206625001</v>
      </c>
      <c r="M69" s="40" t="s">
        <v>348</v>
      </c>
      <c r="N69" s="62">
        <f t="shared" si="1"/>
        <v>45748</v>
      </c>
    </row>
    <row r="70" spans="2:21">
      <c r="N70" s="40"/>
    </row>
    <row r="71" spans="2:21" ht="15.75" thickBot="1">
      <c r="N71" s="40"/>
    </row>
    <row r="72" spans="2:21" ht="30.75" thickBot="1">
      <c r="B72" s="95" t="s">
        <v>689</v>
      </c>
      <c r="C72" s="55" t="s">
        <v>611</v>
      </c>
      <c r="D72" s="55" t="s">
        <v>612</v>
      </c>
      <c r="E72" s="55" t="s">
        <v>613</v>
      </c>
      <c r="F72" s="55" t="s">
        <v>611</v>
      </c>
      <c r="G72" s="55" t="s">
        <v>614</v>
      </c>
      <c r="H72" s="55" t="s">
        <v>615</v>
      </c>
      <c r="I72" s="55" t="s">
        <v>613</v>
      </c>
      <c r="J72" s="55" t="s">
        <v>611</v>
      </c>
      <c r="K72" s="55" t="s">
        <v>616</v>
      </c>
      <c r="L72" s="673" t="s">
        <v>617</v>
      </c>
      <c r="M72" s="40" t="s">
        <v>42</v>
      </c>
      <c r="N72" s="62">
        <v>45444</v>
      </c>
      <c r="P72" s="96" t="s">
        <v>633</v>
      </c>
      <c r="Q72" s="97" t="s">
        <v>690</v>
      </c>
      <c r="R72" s="57"/>
      <c r="S72" s="98" t="s">
        <v>691</v>
      </c>
      <c r="T72" s="674">
        <f>V104*0.6*3+Y104</f>
        <v>0</v>
      </c>
      <c r="U72" s="57"/>
    </row>
    <row r="73" spans="2:21">
      <c r="B73" s="58" t="s">
        <v>692</v>
      </c>
      <c r="C73" s="59">
        <v>1.04</v>
      </c>
      <c r="D73" s="99">
        <v>27.7</v>
      </c>
      <c r="E73" s="60">
        <v>0.4</v>
      </c>
      <c r="F73" s="59">
        <v>0.36</v>
      </c>
      <c r="G73" s="59">
        <v>27.41</v>
      </c>
      <c r="H73" s="99">
        <v>16.309999999999999</v>
      </c>
      <c r="I73" s="60">
        <v>0.4</v>
      </c>
      <c r="J73" s="59">
        <v>1</v>
      </c>
      <c r="K73" s="61">
        <v>5.6004999999999994</v>
      </c>
      <c r="L73" s="637">
        <f>(C73*(D73-D73*E73)+F73*((G73+H73)-(G73+H73)*I73)/2+J73*K73)*1.015</f>
        <v>28.021165899999993</v>
      </c>
      <c r="M73" s="40" t="s">
        <v>42</v>
      </c>
      <c r="N73" s="62">
        <f>N72</f>
        <v>45444</v>
      </c>
      <c r="P73" s="101" t="s">
        <v>693</v>
      </c>
      <c r="Q73" s="102">
        <v>25.993500000000001</v>
      </c>
      <c r="R73" s="57"/>
      <c r="S73" s="98" t="s">
        <v>694</v>
      </c>
      <c r="T73" s="674">
        <f>3*V105*0.6+Y105</f>
        <v>0</v>
      </c>
      <c r="U73" s="57"/>
    </row>
    <row r="74" spans="2:21">
      <c r="B74" s="65" t="s">
        <v>695</v>
      </c>
      <c r="C74" s="11">
        <v>1.04</v>
      </c>
      <c r="D74" s="11">
        <v>35.950000000000003</v>
      </c>
      <c r="E74" s="12">
        <v>0.4</v>
      </c>
      <c r="F74" s="11">
        <v>0.36</v>
      </c>
      <c r="G74" s="11">
        <v>19.010000000000002</v>
      </c>
      <c r="H74" s="11">
        <v>11.97</v>
      </c>
      <c r="I74" s="12">
        <v>0.4</v>
      </c>
      <c r="J74" s="11">
        <v>1</v>
      </c>
      <c r="K74" s="82">
        <v>5.6004999999999994</v>
      </c>
      <c r="L74" s="624">
        <f>(C74*(D74-D74*E74)+F74*((G74+H74)-(G74+H74)*I74)/2+J74*K74)*1.015</f>
        <v>31.849827099999995</v>
      </c>
      <c r="M74" s="40" t="s">
        <v>42</v>
      </c>
      <c r="N74" s="62">
        <f t="shared" ref="N74:N126" si="7">N73</f>
        <v>45444</v>
      </c>
      <c r="P74" s="98" t="s">
        <v>696</v>
      </c>
      <c r="Q74" s="103">
        <v>29.744</v>
      </c>
      <c r="R74" s="57"/>
      <c r="S74" s="98" t="s">
        <v>697</v>
      </c>
      <c r="T74" s="674">
        <f>3*V106*0.6+Y106</f>
        <v>0</v>
      </c>
    </row>
    <row r="75" spans="2:21" ht="15.75" thickBot="1">
      <c r="B75" s="65" t="s">
        <v>698</v>
      </c>
      <c r="C75" s="11">
        <v>1.04</v>
      </c>
      <c r="D75" s="11">
        <v>25.69</v>
      </c>
      <c r="E75" s="12">
        <v>0.4</v>
      </c>
      <c r="F75" s="11">
        <v>0.36</v>
      </c>
      <c r="G75" s="11">
        <v>20.12</v>
      </c>
      <c r="H75" s="11">
        <v>11.84</v>
      </c>
      <c r="I75" s="12">
        <v>0.4</v>
      </c>
      <c r="J75" s="11">
        <v>1</v>
      </c>
      <c r="K75" s="82">
        <v>5.6004999999999994</v>
      </c>
      <c r="L75" s="624">
        <f>(C75*(D75-D75*E75)+F75*((G75+H75)-(G75+H75)*I75)/2+J75*K75)*1.015</f>
        <v>25.458981099999999</v>
      </c>
      <c r="M75" s="40" t="s">
        <v>42</v>
      </c>
      <c r="N75" s="62">
        <f t="shared" si="7"/>
        <v>45444</v>
      </c>
      <c r="P75" s="104" t="s">
        <v>699</v>
      </c>
      <c r="Q75" s="105">
        <v>43.783999999999999</v>
      </c>
      <c r="R75" s="57"/>
      <c r="S75" s="57"/>
      <c r="T75" s="57"/>
    </row>
    <row r="76" spans="2:21" ht="15.75" thickBot="1">
      <c r="B76" s="65" t="s">
        <v>700</v>
      </c>
      <c r="C76" s="11">
        <v>1</v>
      </c>
      <c r="D76" s="11">
        <v>42.25</v>
      </c>
      <c r="E76" s="12">
        <f>E75</f>
        <v>0.4</v>
      </c>
      <c r="F76" s="11">
        <v>0.47</v>
      </c>
      <c r="G76" s="11">
        <v>35.43</v>
      </c>
      <c r="H76" s="11">
        <v>20.85</v>
      </c>
      <c r="I76" s="12">
        <f>I75</f>
        <v>0.4</v>
      </c>
      <c r="J76" s="11">
        <v>0.8</v>
      </c>
      <c r="K76" s="82">
        <v>8.8779999999999983</v>
      </c>
      <c r="L76" s="624">
        <f>(C76*(D76-D76*E76)+F76*((G76+H76)-(G76+H76)*I76)/2+J76*K76)*1.015</f>
        <v>40.99369819999999</v>
      </c>
      <c r="M76" s="40" t="s">
        <v>42</v>
      </c>
      <c r="N76" s="62">
        <f t="shared" si="7"/>
        <v>45444</v>
      </c>
      <c r="P76" s="96" t="s">
        <v>701</v>
      </c>
      <c r="Q76" s="97" t="s">
        <v>690</v>
      </c>
      <c r="R76" s="57"/>
      <c r="S76" s="57"/>
      <c r="T76" s="57"/>
    </row>
    <row r="77" spans="2:21" ht="15.75" thickBot="1">
      <c r="B77" s="71" t="s">
        <v>702</v>
      </c>
      <c r="C77" s="14">
        <v>0.93</v>
      </c>
      <c r="D77" s="14">
        <v>61.13</v>
      </c>
      <c r="E77" s="15">
        <f>E76</f>
        <v>0.4</v>
      </c>
      <c r="F77" s="14">
        <v>0.6</v>
      </c>
      <c r="G77" s="14">
        <v>48.12</v>
      </c>
      <c r="H77" s="14">
        <v>30.66</v>
      </c>
      <c r="I77" s="15">
        <f>I76</f>
        <v>0.4</v>
      </c>
      <c r="J77" s="14">
        <v>0.8</v>
      </c>
      <c r="K77" s="87">
        <v>13.742499999999998</v>
      </c>
      <c r="L77" s="646">
        <f>(C77*(D77-D77*E77)+F77*((G77+H77)-(G77+H77)*I77)/2+J77*K77)*1.015</f>
        <v>60.174214099999993</v>
      </c>
      <c r="M77" s="40" t="s">
        <v>42</v>
      </c>
      <c r="N77" s="62">
        <f t="shared" si="7"/>
        <v>45444</v>
      </c>
      <c r="P77" s="101" t="s">
        <v>703</v>
      </c>
      <c r="Q77" s="102">
        <v>23.597999999999999</v>
      </c>
      <c r="R77" s="57"/>
      <c r="S77" s="98" t="s">
        <v>704</v>
      </c>
      <c r="T77" s="106">
        <v>273.2</v>
      </c>
    </row>
    <row r="78" spans="2:21" ht="27">
      <c r="M78" s="40" t="s">
        <v>42</v>
      </c>
      <c r="N78" s="62">
        <f t="shared" si="7"/>
        <v>45444</v>
      </c>
      <c r="P78" s="98" t="s">
        <v>705</v>
      </c>
      <c r="Q78" s="103">
        <v>57.977999999999994</v>
      </c>
      <c r="R78" s="57"/>
      <c r="S78" s="98" t="s">
        <v>706</v>
      </c>
      <c r="T78" s="106">
        <v>800</v>
      </c>
    </row>
    <row r="79" spans="2:21" ht="27.75" thickBot="1">
      <c r="B79" s="107"/>
      <c r="M79" s="40" t="s">
        <v>42</v>
      </c>
      <c r="N79" s="62">
        <f t="shared" si="7"/>
        <v>45444</v>
      </c>
      <c r="P79" s="98" t="s">
        <v>707</v>
      </c>
      <c r="Q79" s="103">
        <v>162.34799999999998</v>
      </c>
      <c r="R79" s="57"/>
      <c r="S79" s="98" t="s">
        <v>708</v>
      </c>
      <c r="T79" s="106">
        <v>1500</v>
      </c>
      <c r="U79" t="s">
        <v>709</v>
      </c>
    </row>
    <row r="80" spans="2:21" ht="45.75" thickBot="1">
      <c r="B80" s="54" t="s">
        <v>710</v>
      </c>
      <c r="C80" s="55" t="s">
        <v>611</v>
      </c>
      <c r="D80" s="55" t="s">
        <v>612</v>
      </c>
      <c r="E80" s="55" t="s">
        <v>613</v>
      </c>
      <c r="F80" s="55" t="s">
        <v>611</v>
      </c>
      <c r="G80" s="55" t="s">
        <v>614</v>
      </c>
      <c r="H80" s="55" t="s">
        <v>615</v>
      </c>
      <c r="I80" s="55" t="s">
        <v>613</v>
      </c>
      <c r="J80" s="55" t="s">
        <v>611</v>
      </c>
      <c r="K80" s="55" t="s">
        <v>616</v>
      </c>
      <c r="L80" s="673" t="s">
        <v>617</v>
      </c>
      <c r="M80" s="40" t="s">
        <v>42</v>
      </c>
      <c r="N80" s="62">
        <f t="shared" si="7"/>
        <v>45444</v>
      </c>
      <c r="P80" s="104" t="s">
        <v>711</v>
      </c>
      <c r="Q80" s="105">
        <v>635.21400000000006</v>
      </c>
      <c r="R80" s="57"/>
      <c r="S80" s="57"/>
      <c r="T80" s="57"/>
    </row>
    <row r="81" spans="2:21" ht="15.75" thickBot="1">
      <c r="B81" s="58" t="s">
        <v>712</v>
      </c>
      <c r="C81" s="59">
        <v>0.93</v>
      </c>
      <c r="D81" s="59">
        <v>72.86</v>
      </c>
      <c r="E81" s="60">
        <v>0.4</v>
      </c>
      <c r="F81" s="59">
        <v>0.6</v>
      </c>
      <c r="G81" s="99">
        <v>27.78</v>
      </c>
      <c r="H81" s="99">
        <v>17.690000000000001</v>
      </c>
      <c r="I81" s="60">
        <v>0.4</v>
      </c>
      <c r="J81" s="59">
        <v>0.8</v>
      </c>
      <c r="K81" s="61">
        <v>13.742499999999998</v>
      </c>
      <c r="L81" s="637">
        <f t="shared" ref="L81:L86" si="8">(C81*(D81-D81*E81)+F81*((G81+H81)-(G81+H81)*I81)/2+J81*K81)*1.015</f>
        <v>60.731997199999995</v>
      </c>
      <c r="M81" s="40" t="s">
        <v>42</v>
      </c>
      <c r="N81" s="62">
        <f t="shared" si="7"/>
        <v>45444</v>
      </c>
      <c r="P81" s="96" t="s">
        <v>713</v>
      </c>
      <c r="Q81" s="97" t="s">
        <v>690</v>
      </c>
      <c r="R81" s="57"/>
      <c r="S81" s="57"/>
      <c r="T81" s="57"/>
    </row>
    <row r="82" spans="2:21">
      <c r="B82" s="65" t="s">
        <v>714</v>
      </c>
      <c r="C82" s="11">
        <v>0.84</v>
      </c>
      <c r="D82" s="11">
        <v>132.13999999999999</v>
      </c>
      <c r="E82" s="12">
        <f t="shared" ref="E82:E87" si="9">E81</f>
        <v>0.4</v>
      </c>
      <c r="F82" s="11">
        <v>0.69</v>
      </c>
      <c r="G82" s="23">
        <v>87.74</v>
      </c>
      <c r="H82" s="23">
        <v>44.46</v>
      </c>
      <c r="I82" s="12">
        <f t="shared" ref="I82:I87" si="10">I81</f>
        <v>0.4</v>
      </c>
      <c r="J82" s="11">
        <v>0.8</v>
      </c>
      <c r="K82" s="82">
        <v>31.049999999999997</v>
      </c>
      <c r="L82" s="624">
        <f t="shared" si="8"/>
        <v>120.58601939999998</v>
      </c>
      <c r="M82" s="40" t="s">
        <v>42</v>
      </c>
      <c r="N82" s="62">
        <f t="shared" si="7"/>
        <v>45444</v>
      </c>
      <c r="P82" s="108" t="s">
        <v>715</v>
      </c>
      <c r="Q82" s="103">
        <v>20.970000000000002</v>
      </c>
      <c r="R82" s="57"/>
      <c r="S82" s="57"/>
      <c r="T82" s="57"/>
      <c r="U82" s="57"/>
    </row>
    <row r="83" spans="2:21">
      <c r="B83" s="65" t="s">
        <v>716</v>
      </c>
      <c r="C83" s="11">
        <v>0.8</v>
      </c>
      <c r="D83" s="11">
        <v>238.45</v>
      </c>
      <c r="E83" s="12">
        <f t="shared" si="9"/>
        <v>0.4</v>
      </c>
      <c r="F83" s="11">
        <v>0.69</v>
      </c>
      <c r="G83" s="23">
        <v>384.77</v>
      </c>
      <c r="H83" s="23">
        <v>89.31</v>
      </c>
      <c r="I83" s="12">
        <f t="shared" si="10"/>
        <v>0.4</v>
      </c>
      <c r="J83" s="11">
        <v>0.8</v>
      </c>
      <c r="K83" s="82">
        <v>41.169999999999995</v>
      </c>
      <c r="L83" s="3">
        <f>(C83*(D83-D83*E83)+F83*((G83+H83)-(G83+H83)*I83)/2+J83*K83)*1.015</f>
        <v>249.20945839999996</v>
      </c>
      <c r="M83" s="40" t="s">
        <v>42</v>
      </c>
      <c r="N83" s="62">
        <f t="shared" si="7"/>
        <v>45444</v>
      </c>
      <c r="P83" s="109" t="s">
        <v>717</v>
      </c>
      <c r="Q83" s="103">
        <v>29.454000000000001</v>
      </c>
      <c r="R83" s="57"/>
      <c r="S83" s="57"/>
      <c r="T83" s="57"/>
      <c r="U83" s="57"/>
    </row>
    <row r="84" spans="2:21">
      <c r="B84" s="65" t="s">
        <v>718</v>
      </c>
      <c r="C84" s="11">
        <v>0.8</v>
      </c>
      <c r="D84" s="82">
        <v>276.89999999999998</v>
      </c>
      <c r="E84" s="12">
        <f t="shared" si="9"/>
        <v>0.4</v>
      </c>
      <c r="F84" s="11">
        <v>0.6</v>
      </c>
      <c r="G84" s="23">
        <v>1054.76</v>
      </c>
      <c r="H84" s="23">
        <v>1362.52</v>
      </c>
      <c r="I84" s="12">
        <f t="shared" si="10"/>
        <v>0.4</v>
      </c>
      <c r="J84" s="11">
        <v>0.8</v>
      </c>
      <c r="K84" s="82">
        <v>48.3</v>
      </c>
      <c r="L84" s="624">
        <f t="shared" si="8"/>
        <v>615.76233599999989</v>
      </c>
      <c r="M84" s="40" t="s">
        <v>42</v>
      </c>
      <c r="N84" s="62">
        <f t="shared" si="7"/>
        <v>45444</v>
      </c>
      <c r="P84" s="109" t="s">
        <v>719</v>
      </c>
      <c r="Q84" s="103">
        <v>44.933999999999997</v>
      </c>
      <c r="R84" s="57"/>
      <c r="S84" s="57"/>
      <c r="T84" s="57"/>
      <c r="U84" s="57"/>
    </row>
    <row r="85" spans="2:21">
      <c r="B85" s="65" t="s">
        <v>720</v>
      </c>
      <c r="C85" s="11">
        <v>0.75</v>
      </c>
      <c r="D85" s="82">
        <v>428.35999999999996</v>
      </c>
      <c r="E85" s="12">
        <f t="shared" si="9"/>
        <v>0.4</v>
      </c>
      <c r="F85" s="11">
        <v>0.55000000000000004</v>
      </c>
      <c r="G85" s="23">
        <v>1682.77</v>
      </c>
      <c r="H85" s="23">
        <v>1351</v>
      </c>
      <c r="I85" s="12">
        <f t="shared" si="10"/>
        <v>0.4</v>
      </c>
      <c r="J85" s="11">
        <v>0.8</v>
      </c>
      <c r="K85" s="82">
        <v>57.499999999999993</v>
      </c>
      <c r="L85" s="624">
        <f t="shared" si="8"/>
        <v>750.42406074999997</v>
      </c>
      <c r="M85" s="40" t="s">
        <v>42</v>
      </c>
      <c r="N85" s="62">
        <f t="shared" si="7"/>
        <v>45444</v>
      </c>
      <c r="P85" s="109" t="s">
        <v>721</v>
      </c>
      <c r="Q85" s="103">
        <v>84.798000000000002</v>
      </c>
      <c r="R85" s="57"/>
      <c r="S85" s="57"/>
      <c r="T85" s="57"/>
      <c r="U85" s="57"/>
    </row>
    <row r="86" spans="2:21" ht="15.75" thickBot="1">
      <c r="B86" s="65" t="s">
        <v>722</v>
      </c>
      <c r="C86" s="11">
        <v>0.75</v>
      </c>
      <c r="D86" s="82">
        <v>702.9</v>
      </c>
      <c r="E86" s="12">
        <f t="shared" si="9"/>
        <v>0.4</v>
      </c>
      <c r="F86" s="11">
        <v>0.55000000000000004</v>
      </c>
      <c r="G86" s="23">
        <v>2328.6799999999998</v>
      </c>
      <c r="H86" s="23">
        <v>1331.81</v>
      </c>
      <c r="I86" s="12">
        <f t="shared" si="10"/>
        <v>0.4</v>
      </c>
      <c r="J86" s="11">
        <v>0.8</v>
      </c>
      <c r="K86" s="82">
        <v>69</v>
      </c>
      <c r="L86" s="624">
        <f t="shared" si="8"/>
        <v>990.11813774999996</v>
      </c>
      <c r="M86" s="40" t="s">
        <v>42</v>
      </c>
      <c r="N86" s="62">
        <f t="shared" si="7"/>
        <v>45444</v>
      </c>
      <c r="P86" s="110" t="s">
        <v>723</v>
      </c>
      <c r="Q86" s="105">
        <v>139.428</v>
      </c>
      <c r="R86" s="57"/>
      <c r="S86" s="57"/>
      <c r="T86" s="57"/>
      <c r="U86" s="57"/>
    </row>
    <row r="87" spans="2:21" ht="15.75" thickBot="1">
      <c r="B87" s="71" t="s">
        <v>724</v>
      </c>
      <c r="C87" s="14">
        <v>0.75</v>
      </c>
      <c r="D87" s="87">
        <v>1156.71</v>
      </c>
      <c r="E87" s="15">
        <f t="shared" si="9"/>
        <v>0.4</v>
      </c>
      <c r="F87" s="14">
        <v>0.55000000000000004</v>
      </c>
      <c r="G87" s="26">
        <v>3426.71</v>
      </c>
      <c r="H87" s="26">
        <v>1517.06</v>
      </c>
      <c r="I87" s="15">
        <f t="shared" si="10"/>
        <v>0.4</v>
      </c>
      <c r="J87" s="14">
        <v>0.8</v>
      </c>
      <c r="K87" s="87">
        <v>69</v>
      </c>
      <c r="L87" s="646">
        <f>(C87*(D87-D87*E87)+F87*((G87+H87)-(G87+H87)*I87)/2+J87*K87)*1.015</f>
        <v>1412.3131732500001</v>
      </c>
      <c r="M87" s="40" t="s">
        <v>42</v>
      </c>
      <c r="N87" s="62">
        <f t="shared" si="7"/>
        <v>45444</v>
      </c>
      <c r="P87" s="96" t="s">
        <v>725</v>
      </c>
      <c r="Q87" s="97" t="s">
        <v>690</v>
      </c>
      <c r="R87" s="57"/>
      <c r="S87" s="57"/>
      <c r="T87" s="57"/>
      <c r="U87" s="57"/>
    </row>
    <row r="88" spans="2:21">
      <c r="M88" s="40" t="s">
        <v>42</v>
      </c>
      <c r="N88" s="62">
        <f t="shared" si="7"/>
        <v>45444</v>
      </c>
      <c r="P88" s="108" t="s">
        <v>726</v>
      </c>
      <c r="Q88" s="102">
        <v>45.116500000000002</v>
      </c>
      <c r="R88" s="57"/>
      <c r="S88" s="57"/>
      <c r="T88" s="57"/>
      <c r="U88" s="57"/>
    </row>
    <row r="89" spans="2:21" ht="15.75" thickBot="1">
      <c r="M89" s="40" t="s">
        <v>42</v>
      </c>
      <c r="N89" s="62">
        <f t="shared" si="7"/>
        <v>45444</v>
      </c>
      <c r="P89" s="109" t="s">
        <v>727</v>
      </c>
      <c r="Q89" s="103">
        <v>51.863500000000009</v>
      </c>
      <c r="R89" s="57"/>
      <c r="S89" s="57"/>
      <c r="T89" s="57"/>
      <c r="U89" s="57"/>
    </row>
    <row r="90" spans="2:21" ht="45.75" thickBot="1">
      <c r="B90" s="54" t="s">
        <v>728</v>
      </c>
      <c r="C90" s="55" t="s">
        <v>611</v>
      </c>
      <c r="D90" s="55" t="s">
        <v>612</v>
      </c>
      <c r="E90" s="55" t="s">
        <v>613</v>
      </c>
      <c r="F90" s="55" t="s">
        <v>611</v>
      </c>
      <c r="G90" s="55" t="s">
        <v>614</v>
      </c>
      <c r="H90" s="55" t="s">
        <v>615</v>
      </c>
      <c r="I90" s="55" t="s">
        <v>613</v>
      </c>
      <c r="J90" s="55" t="s">
        <v>611</v>
      </c>
      <c r="K90" s="55" t="s">
        <v>616</v>
      </c>
      <c r="L90" s="673" t="s">
        <v>617</v>
      </c>
      <c r="M90" s="40" t="s">
        <v>42</v>
      </c>
      <c r="N90" s="62">
        <f t="shared" si="7"/>
        <v>45444</v>
      </c>
      <c r="P90" s="109" t="s">
        <v>729</v>
      </c>
      <c r="Q90" s="103">
        <v>72.878</v>
      </c>
      <c r="R90" s="57"/>
      <c r="S90" s="57"/>
      <c r="T90" s="57"/>
      <c r="U90" s="57"/>
    </row>
    <row r="91" spans="2:21">
      <c r="B91" s="58" t="s">
        <v>712</v>
      </c>
      <c r="C91" s="59">
        <v>0.93</v>
      </c>
      <c r="D91" s="59">
        <v>54.98</v>
      </c>
      <c r="E91" s="60">
        <v>0.4</v>
      </c>
      <c r="F91" s="59">
        <v>0.6</v>
      </c>
      <c r="G91" s="99">
        <v>27.78</v>
      </c>
      <c r="H91" s="99">
        <v>17.690000000000001</v>
      </c>
      <c r="I91" s="60">
        <v>0.4</v>
      </c>
      <c r="J91" s="59">
        <v>0.8</v>
      </c>
      <c r="K91" s="61">
        <v>13.742499999999998</v>
      </c>
      <c r="L91" s="637">
        <f t="shared" ref="L91:L97" si="11">(C91*(D91-D91*E91)+F91*((G91+H91)-(G91+H91)*I91)/2+J91*K91)*1.015</f>
        <v>50.60530159999999</v>
      </c>
      <c r="M91" s="40" t="s">
        <v>42</v>
      </c>
      <c r="N91" s="62">
        <f t="shared" si="7"/>
        <v>45444</v>
      </c>
      <c r="P91" s="109" t="s">
        <v>730</v>
      </c>
      <c r="Q91" s="103">
        <v>84.662500000000009</v>
      </c>
      <c r="R91" s="57"/>
      <c r="S91" s="57"/>
      <c r="T91" s="57"/>
      <c r="U91" s="57"/>
    </row>
    <row r="92" spans="2:21">
      <c r="B92" s="65" t="s">
        <v>714</v>
      </c>
      <c r="C92" s="11">
        <v>0.84</v>
      </c>
      <c r="D92" s="11">
        <v>98.54</v>
      </c>
      <c r="E92" s="12">
        <f t="shared" ref="E92:E97" si="12">E91</f>
        <v>0.4</v>
      </c>
      <c r="F92" s="11">
        <v>0.69</v>
      </c>
      <c r="G92" s="23">
        <v>87.74</v>
      </c>
      <c r="H92" s="23">
        <v>44.46</v>
      </c>
      <c r="I92" s="12">
        <f t="shared" ref="I92:I97" si="13">I91</f>
        <v>0.4</v>
      </c>
      <c r="J92" s="11">
        <v>0.8</v>
      </c>
      <c r="K92" s="82">
        <v>31.049999999999997</v>
      </c>
      <c r="L92" s="624">
        <f t="shared" si="11"/>
        <v>103.39760339999999</v>
      </c>
      <c r="M92" s="40" t="s">
        <v>42</v>
      </c>
      <c r="N92" s="62">
        <f t="shared" si="7"/>
        <v>45444</v>
      </c>
      <c r="P92" s="109" t="s">
        <v>731</v>
      </c>
      <c r="Q92" s="103">
        <v>174.02450000000002</v>
      </c>
      <c r="R92" s="57"/>
      <c r="S92" s="57"/>
      <c r="T92" s="57"/>
      <c r="U92" s="57"/>
    </row>
    <row r="93" spans="2:21">
      <c r="B93" s="65" t="s">
        <v>716</v>
      </c>
      <c r="C93" s="11">
        <v>0.8</v>
      </c>
      <c r="D93" s="11">
        <v>155.21</v>
      </c>
      <c r="E93" s="12">
        <f t="shared" si="12"/>
        <v>0.4</v>
      </c>
      <c r="F93" s="11">
        <v>0.69</v>
      </c>
      <c r="G93" s="23">
        <v>384.77</v>
      </c>
      <c r="H93" s="23">
        <v>89.31</v>
      </c>
      <c r="I93" s="12">
        <f t="shared" si="13"/>
        <v>0.4</v>
      </c>
      <c r="J93" s="11">
        <v>0.8</v>
      </c>
      <c r="K93" s="82">
        <v>41.169999999999995</v>
      </c>
      <c r="L93" s="624">
        <f t="shared" si="11"/>
        <v>208.65493039999998</v>
      </c>
      <c r="M93" s="40" t="s">
        <v>42</v>
      </c>
      <c r="N93" s="62">
        <f t="shared" si="7"/>
        <v>45444</v>
      </c>
      <c r="P93" s="109" t="s">
        <v>732</v>
      </c>
      <c r="Q93" s="103">
        <v>220.441</v>
      </c>
      <c r="R93" s="57"/>
      <c r="S93" s="57"/>
      <c r="T93" s="57"/>
      <c r="U93" s="57"/>
    </row>
    <row r="94" spans="2:21" ht="15.75" thickBot="1">
      <c r="B94" s="65" t="s">
        <v>718</v>
      </c>
      <c r="C94" s="11">
        <v>0.8</v>
      </c>
      <c r="D94" s="11">
        <v>223.57</v>
      </c>
      <c r="E94" s="12">
        <f t="shared" si="12"/>
        <v>0.4</v>
      </c>
      <c r="F94" s="11">
        <v>0.6</v>
      </c>
      <c r="G94" s="23">
        <v>1054.76</v>
      </c>
      <c r="H94" s="23">
        <v>1362.52</v>
      </c>
      <c r="I94" s="12">
        <f t="shared" si="13"/>
        <v>0.4</v>
      </c>
      <c r="J94" s="11">
        <v>0.8</v>
      </c>
      <c r="K94" s="82">
        <v>48.3</v>
      </c>
      <c r="L94" s="624">
        <f t="shared" si="11"/>
        <v>589.77995999999996</v>
      </c>
      <c r="M94" s="40" t="s">
        <v>42</v>
      </c>
      <c r="N94" s="62">
        <f t="shared" si="7"/>
        <v>45444</v>
      </c>
      <c r="P94" s="110" t="s">
        <v>733</v>
      </c>
      <c r="Q94" s="105">
        <v>221.61100000000002</v>
      </c>
      <c r="R94" s="57"/>
      <c r="S94" s="57"/>
      <c r="T94" s="57"/>
      <c r="U94" s="57"/>
    </row>
    <row r="95" spans="2:21" ht="15.75" thickBot="1">
      <c r="B95" s="65" t="s">
        <v>720</v>
      </c>
      <c r="C95" s="11">
        <v>0.75</v>
      </c>
      <c r="D95" s="11">
        <v>338.69</v>
      </c>
      <c r="E95" s="12">
        <f t="shared" si="12"/>
        <v>0.4</v>
      </c>
      <c r="F95" s="11">
        <v>0.55000000000000004</v>
      </c>
      <c r="G95" s="23">
        <v>1682.77</v>
      </c>
      <c r="H95" s="23">
        <v>1351</v>
      </c>
      <c r="I95" s="12">
        <f t="shared" si="13"/>
        <v>0.4</v>
      </c>
      <c r="J95" s="11">
        <v>0.8</v>
      </c>
      <c r="K95" s="82">
        <v>57.499999999999993</v>
      </c>
      <c r="L95" s="624">
        <f t="shared" si="11"/>
        <v>709.46728825000002</v>
      </c>
      <c r="M95" s="40" t="s">
        <v>42</v>
      </c>
      <c r="N95" s="62">
        <f t="shared" si="7"/>
        <v>45444</v>
      </c>
      <c r="P95" s="111" t="s">
        <v>734</v>
      </c>
      <c r="Q95" s="97" t="s">
        <v>690</v>
      </c>
      <c r="R95" s="57"/>
      <c r="S95" s="57"/>
      <c r="T95" s="57"/>
      <c r="U95" s="57"/>
    </row>
    <row r="96" spans="2:21" ht="15.75" thickBot="1">
      <c r="B96" s="65" t="s">
        <v>722</v>
      </c>
      <c r="C96" s="11">
        <v>0.75</v>
      </c>
      <c r="D96" s="11">
        <v>549.4</v>
      </c>
      <c r="E96" s="12">
        <f t="shared" si="12"/>
        <v>0.4</v>
      </c>
      <c r="F96" s="11">
        <v>0.55000000000000004</v>
      </c>
      <c r="G96" s="23">
        <v>2328.6799999999998</v>
      </c>
      <c r="H96" s="23">
        <v>1331.81</v>
      </c>
      <c r="I96" s="12">
        <f t="shared" si="13"/>
        <v>0.4</v>
      </c>
      <c r="J96" s="11">
        <v>0.8</v>
      </c>
      <c r="K96" s="82">
        <v>69</v>
      </c>
      <c r="L96" s="624">
        <f t="shared" si="11"/>
        <v>920.00701275000006</v>
      </c>
      <c r="M96" s="40" t="s">
        <v>42</v>
      </c>
      <c r="N96" s="62">
        <f t="shared" si="7"/>
        <v>45444</v>
      </c>
      <c r="P96" s="112" t="s">
        <v>735</v>
      </c>
      <c r="Q96" s="113">
        <v>170</v>
      </c>
      <c r="R96" s="57"/>
      <c r="S96" s="57"/>
      <c r="T96" s="57"/>
      <c r="U96" s="57"/>
    </row>
    <row r="97" spans="2:21" ht="15.75" thickBot="1">
      <c r="B97" s="71" t="s">
        <v>724</v>
      </c>
      <c r="C97" s="14">
        <v>0.75</v>
      </c>
      <c r="D97" s="14">
        <v>882.04</v>
      </c>
      <c r="E97" s="15">
        <f t="shared" si="12"/>
        <v>0.4</v>
      </c>
      <c r="F97" s="14">
        <v>0.55000000000000004</v>
      </c>
      <c r="G97" s="26">
        <v>3426.71</v>
      </c>
      <c r="H97" s="26">
        <v>1517.06</v>
      </c>
      <c r="I97" s="15">
        <f t="shared" si="13"/>
        <v>0.4</v>
      </c>
      <c r="J97" s="14">
        <v>0.8</v>
      </c>
      <c r="K97" s="87">
        <v>69</v>
      </c>
      <c r="L97" s="646">
        <f t="shared" si="11"/>
        <v>1286.8576507499999</v>
      </c>
      <c r="M97" s="40" t="s">
        <v>42</v>
      </c>
      <c r="N97" s="62">
        <f t="shared" si="7"/>
        <v>45444</v>
      </c>
      <c r="P97" s="111" t="s">
        <v>736</v>
      </c>
      <c r="Q97" s="97" t="s">
        <v>690</v>
      </c>
      <c r="R97" s="57"/>
      <c r="S97" s="57"/>
      <c r="T97" s="57"/>
      <c r="U97" s="57"/>
    </row>
    <row r="98" spans="2:21">
      <c r="M98" s="40" t="s">
        <v>42</v>
      </c>
      <c r="N98" s="62">
        <f t="shared" si="7"/>
        <v>45444</v>
      </c>
      <c r="P98" s="101" t="s">
        <v>737</v>
      </c>
      <c r="Q98" s="102">
        <v>250.488</v>
      </c>
      <c r="R98" s="57"/>
      <c r="S98" s="57"/>
      <c r="T98" s="57"/>
      <c r="U98" s="57"/>
    </row>
    <row r="99" spans="2:21" ht="15.75" thickBot="1">
      <c r="M99" s="40" t="s">
        <v>42</v>
      </c>
      <c r="N99" s="62">
        <f t="shared" si="7"/>
        <v>45444</v>
      </c>
      <c r="P99" s="98" t="s">
        <v>738</v>
      </c>
      <c r="Q99" s="103">
        <v>397.94400000000002</v>
      </c>
      <c r="R99" s="57"/>
      <c r="S99" s="57"/>
      <c r="T99" s="57"/>
      <c r="U99" s="57"/>
    </row>
    <row r="100" spans="2:21" ht="45.75" thickBot="1">
      <c r="B100" s="54" t="s">
        <v>739</v>
      </c>
      <c r="C100" s="55" t="s">
        <v>611</v>
      </c>
      <c r="D100" s="55" t="s">
        <v>612</v>
      </c>
      <c r="E100" s="55" t="s">
        <v>613</v>
      </c>
      <c r="F100" s="55" t="s">
        <v>611</v>
      </c>
      <c r="G100" s="55" t="s">
        <v>614</v>
      </c>
      <c r="H100" s="55" t="s">
        <v>615</v>
      </c>
      <c r="I100" s="55" t="s">
        <v>613</v>
      </c>
      <c r="J100" s="55" t="s">
        <v>611</v>
      </c>
      <c r="K100" s="55" t="s">
        <v>616</v>
      </c>
      <c r="L100" s="673" t="s">
        <v>617</v>
      </c>
      <c r="M100" s="40" t="s">
        <v>42</v>
      </c>
      <c r="N100" s="62">
        <f t="shared" si="7"/>
        <v>45444</v>
      </c>
    </row>
    <row r="101" spans="2:21">
      <c r="B101" s="65" t="s">
        <v>740</v>
      </c>
      <c r="C101" s="11">
        <v>1.04</v>
      </c>
      <c r="D101" s="11">
        <v>19.440000000000001</v>
      </c>
      <c r="E101" s="12">
        <v>0.35</v>
      </c>
      <c r="F101" s="11">
        <v>0.36</v>
      </c>
      <c r="G101" s="11">
        <v>17.12</v>
      </c>
      <c r="H101" s="11">
        <v>7.23</v>
      </c>
      <c r="I101" s="12">
        <v>0.35</v>
      </c>
      <c r="J101" s="11">
        <v>1</v>
      </c>
      <c r="K101" s="82">
        <v>5.6004999999999994</v>
      </c>
      <c r="L101" s="624">
        <f t="shared" ref="L101:L106" si="14">(C101*(D101-D101*E101)+F101*((G101+H101)-(G101+H101)*I101)/2+J101*K101)*1.015</f>
        <v>21.914753349999998</v>
      </c>
      <c r="M101" s="40" t="s">
        <v>42</v>
      </c>
      <c r="N101" s="62">
        <f t="shared" si="7"/>
        <v>45444</v>
      </c>
    </row>
    <row r="102" spans="2:21">
      <c r="B102" s="65" t="s">
        <v>741</v>
      </c>
      <c r="C102" s="11">
        <v>1.04</v>
      </c>
      <c r="D102" s="11">
        <v>22.99</v>
      </c>
      <c r="E102" s="12">
        <v>0.35</v>
      </c>
      <c r="F102" s="11">
        <v>0.36</v>
      </c>
      <c r="G102" s="11">
        <v>18.14</v>
      </c>
      <c r="H102" s="11">
        <v>9.5</v>
      </c>
      <c r="I102" s="12">
        <v>0.35</v>
      </c>
      <c r="J102" s="11">
        <v>1</v>
      </c>
      <c r="K102" s="82">
        <v>5.6004999999999994</v>
      </c>
      <c r="L102" s="624">
        <f t="shared" si="14"/>
        <v>24.741254299999998</v>
      </c>
      <c r="M102" s="40" t="s">
        <v>42</v>
      </c>
      <c r="N102" s="62">
        <f t="shared" si="7"/>
        <v>45444</v>
      </c>
    </row>
    <row r="103" spans="2:21">
      <c r="B103" s="65" t="s">
        <v>742</v>
      </c>
      <c r="C103" s="11">
        <v>1</v>
      </c>
      <c r="D103" s="11">
        <v>38.159999999999997</v>
      </c>
      <c r="E103" s="12">
        <f>E102</f>
        <v>0.35</v>
      </c>
      <c r="F103" s="11">
        <v>0.47</v>
      </c>
      <c r="G103" s="11">
        <v>27.27</v>
      </c>
      <c r="H103" s="11">
        <v>16.84</v>
      </c>
      <c r="I103" s="12">
        <f>I102</f>
        <v>0.35</v>
      </c>
      <c r="J103" s="11">
        <v>0.8</v>
      </c>
      <c r="K103" s="82">
        <v>8.8779999999999983</v>
      </c>
      <c r="L103" s="624">
        <f t="shared" si="14"/>
        <v>39.223865537499996</v>
      </c>
      <c r="M103" s="40" t="s">
        <v>42</v>
      </c>
      <c r="N103" s="62">
        <f t="shared" si="7"/>
        <v>45444</v>
      </c>
    </row>
    <row r="104" spans="2:21">
      <c r="B104" s="65" t="s">
        <v>743</v>
      </c>
      <c r="C104" s="11">
        <v>0.93</v>
      </c>
      <c r="D104" s="11">
        <v>59.75</v>
      </c>
      <c r="E104" s="12">
        <f>E103</f>
        <v>0.35</v>
      </c>
      <c r="F104" s="11">
        <v>0.69</v>
      </c>
      <c r="G104" s="11">
        <v>51.12</v>
      </c>
      <c r="H104" s="11">
        <v>22.68</v>
      </c>
      <c r="I104" s="12">
        <f>I103</f>
        <v>0.35</v>
      </c>
      <c r="J104" s="11">
        <v>0.8</v>
      </c>
      <c r="K104" s="82">
        <v>13.742499999999998</v>
      </c>
      <c r="L104" s="624">
        <f t="shared" si="14"/>
        <v>64.617462875000001</v>
      </c>
      <c r="M104" s="40" t="s">
        <v>42</v>
      </c>
      <c r="N104" s="62">
        <f t="shared" si="7"/>
        <v>45444</v>
      </c>
    </row>
    <row r="105" spans="2:21">
      <c r="B105" s="65" t="s">
        <v>744</v>
      </c>
      <c r="C105" s="11">
        <v>0.84</v>
      </c>
      <c r="D105" s="11">
        <v>87.32</v>
      </c>
      <c r="E105" s="12">
        <f>E103</f>
        <v>0.35</v>
      </c>
      <c r="F105" s="11">
        <v>0.69</v>
      </c>
      <c r="G105" s="11">
        <v>164.98</v>
      </c>
      <c r="H105" s="11">
        <v>71.42</v>
      </c>
      <c r="I105" s="12">
        <f>I103</f>
        <v>0.35</v>
      </c>
      <c r="J105" s="11">
        <v>0.8</v>
      </c>
      <c r="K105" s="82">
        <v>31.049999999999997</v>
      </c>
      <c r="L105" s="624">
        <f t="shared" si="14"/>
        <v>127.41236129999997</v>
      </c>
      <c r="M105" s="40" t="s">
        <v>42</v>
      </c>
      <c r="N105" s="62">
        <f t="shared" si="7"/>
        <v>45444</v>
      </c>
    </row>
    <row r="106" spans="2:21" ht="15.75" thickBot="1">
      <c r="B106" s="71" t="s">
        <v>745</v>
      </c>
      <c r="C106" s="14">
        <v>0.84</v>
      </c>
      <c r="D106" s="14">
        <v>153.22</v>
      </c>
      <c r="E106" s="15">
        <f>E104</f>
        <v>0.35</v>
      </c>
      <c r="F106" s="14">
        <v>0.69</v>
      </c>
      <c r="G106" s="14">
        <v>280.45999999999998</v>
      </c>
      <c r="H106" s="14">
        <v>81.66</v>
      </c>
      <c r="I106" s="15">
        <f>I104</f>
        <v>0.35</v>
      </c>
      <c r="J106" s="14">
        <v>0.8</v>
      </c>
      <c r="K106" s="87">
        <v>31.049999999999997</v>
      </c>
      <c r="L106" s="646">
        <f t="shared" si="14"/>
        <v>192.54908294999998</v>
      </c>
      <c r="M106" s="40" t="s">
        <v>42</v>
      </c>
      <c r="N106" s="62">
        <f t="shared" si="7"/>
        <v>45444</v>
      </c>
    </row>
    <row r="107" spans="2:21">
      <c r="M107" s="40" t="s">
        <v>42</v>
      </c>
      <c r="N107" s="62">
        <f t="shared" si="7"/>
        <v>45444</v>
      </c>
    </row>
    <row r="108" spans="2:21" ht="15.75" thickBot="1">
      <c r="M108" s="40" t="s">
        <v>42</v>
      </c>
      <c r="N108" s="62">
        <f t="shared" si="7"/>
        <v>45444</v>
      </c>
    </row>
    <row r="109" spans="2:21" ht="45.75" thickBot="1">
      <c r="B109" s="54" t="s">
        <v>746</v>
      </c>
      <c r="C109" s="55" t="s">
        <v>611</v>
      </c>
      <c r="D109" s="55" t="s">
        <v>612</v>
      </c>
      <c r="E109" s="55" t="s">
        <v>613</v>
      </c>
      <c r="F109" s="55" t="s">
        <v>611</v>
      </c>
      <c r="G109" s="55" t="s">
        <v>614</v>
      </c>
      <c r="H109" s="55" t="s">
        <v>615</v>
      </c>
      <c r="I109" s="55" t="s">
        <v>613</v>
      </c>
      <c r="J109" s="55" t="s">
        <v>611</v>
      </c>
      <c r="K109" s="55" t="s">
        <v>616</v>
      </c>
      <c r="L109" s="673" t="s">
        <v>617</v>
      </c>
      <c r="M109" s="40" t="s">
        <v>42</v>
      </c>
      <c r="N109" s="62">
        <f t="shared" si="7"/>
        <v>45444</v>
      </c>
    </row>
    <row r="110" spans="2:21">
      <c r="B110" s="58" t="s">
        <v>741</v>
      </c>
      <c r="C110" s="59">
        <v>1.04</v>
      </c>
      <c r="D110" s="59">
        <v>58.53</v>
      </c>
      <c r="E110" s="60">
        <v>0.35</v>
      </c>
      <c r="F110" s="59">
        <v>0.36</v>
      </c>
      <c r="G110" s="59">
        <v>48.09</v>
      </c>
      <c r="H110" s="59">
        <v>32.61</v>
      </c>
      <c r="I110" s="60">
        <v>0.35</v>
      </c>
      <c r="J110" s="59">
        <v>1</v>
      </c>
      <c r="K110" s="61">
        <v>5.6004999999999994</v>
      </c>
      <c r="L110" s="637">
        <f t="shared" ref="L110:L116" si="15">(C110*(D110-D110*E110)+F110*((G110+H110)-(G110+H110)*I110)/2+J110*K110)*1.015</f>
        <v>55.427810199999989</v>
      </c>
      <c r="M110" s="40" t="s">
        <v>42</v>
      </c>
      <c r="N110" s="62">
        <f t="shared" si="7"/>
        <v>45444</v>
      </c>
    </row>
    <row r="111" spans="2:21">
      <c r="B111" s="65" t="s">
        <v>742</v>
      </c>
      <c r="C111" s="11">
        <v>1</v>
      </c>
      <c r="D111" s="11">
        <v>77.25</v>
      </c>
      <c r="E111" s="12">
        <f>E110</f>
        <v>0.35</v>
      </c>
      <c r="F111" s="11">
        <v>0.47</v>
      </c>
      <c r="G111" s="11">
        <v>66.56</v>
      </c>
      <c r="H111" s="11">
        <v>39.56</v>
      </c>
      <c r="I111" s="12">
        <f>I110</f>
        <v>0.35</v>
      </c>
      <c r="J111" s="11">
        <v>0.8</v>
      </c>
      <c r="K111" s="82">
        <v>8.8779999999999983</v>
      </c>
      <c r="L111" s="624">
        <f t="shared" si="15"/>
        <v>74.627600950000001</v>
      </c>
      <c r="M111" s="40" t="s">
        <v>42</v>
      </c>
      <c r="N111" s="62">
        <f t="shared" si="7"/>
        <v>45444</v>
      </c>
    </row>
    <row r="112" spans="2:21">
      <c r="B112" s="65" t="s">
        <v>747</v>
      </c>
      <c r="C112" s="11">
        <v>0.93</v>
      </c>
      <c r="D112" s="11">
        <v>107.3</v>
      </c>
      <c r="E112" s="12">
        <f>E111</f>
        <v>0.35</v>
      </c>
      <c r="F112" s="11">
        <v>0.69</v>
      </c>
      <c r="G112" s="11">
        <v>91.25</v>
      </c>
      <c r="H112" s="11">
        <v>56.58</v>
      </c>
      <c r="I112" s="12">
        <f>I111</f>
        <v>0.35</v>
      </c>
      <c r="J112" s="11">
        <v>0.8</v>
      </c>
      <c r="K112" s="82">
        <v>8.8779999999999983</v>
      </c>
      <c r="L112" s="624">
        <f t="shared" si="15"/>
        <v>106.69286941249999</v>
      </c>
      <c r="M112" s="40" t="s">
        <v>42</v>
      </c>
      <c r="N112" s="62">
        <f t="shared" si="7"/>
        <v>45444</v>
      </c>
    </row>
    <row r="113" spans="2:14">
      <c r="B113" s="65" t="s">
        <v>743</v>
      </c>
      <c r="C113" s="11">
        <v>0.93</v>
      </c>
      <c r="D113" s="11">
        <v>104.53</v>
      </c>
      <c r="E113" s="12">
        <f>E111</f>
        <v>0.35</v>
      </c>
      <c r="F113" s="11">
        <v>0.69</v>
      </c>
      <c r="G113" s="11">
        <v>94.71</v>
      </c>
      <c r="H113" s="11">
        <v>58.7</v>
      </c>
      <c r="I113" s="12">
        <f>I111</f>
        <v>0.35</v>
      </c>
      <c r="J113" s="11">
        <v>0.8</v>
      </c>
      <c r="K113" s="82">
        <v>13.742499999999998</v>
      </c>
      <c r="L113" s="624">
        <f t="shared" si="15"/>
        <v>110.2133461625</v>
      </c>
      <c r="M113" s="40" t="s">
        <v>42</v>
      </c>
      <c r="N113" s="62">
        <f t="shared" si="7"/>
        <v>45444</v>
      </c>
    </row>
    <row r="114" spans="2:14">
      <c r="B114" s="65" t="s">
        <v>744</v>
      </c>
      <c r="C114" s="11">
        <v>0.84</v>
      </c>
      <c r="D114" s="11">
        <v>138.96</v>
      </c>
      <c r="E114" s="12">
        <f>E111</f>
        <v>0.35</v>
      </c>
      <c r="F114" s="11">
        <v>0.69</v>
      </c>
      <c r="G114" s="11">
        <v>179.86</v>
      </c>
      <c r="H114" s="11">
        <v>92.05</v>
      </c>
      <c r="I114" s="12">
        <f>I111</f>
        <v>0.35</v>
      </c>
      <c r="J114" s="11">
        <v>0.8</v>
      </c>
      <c r="K114" s="82">
        <v>31.049999999999997</v>
      </c>
      <c r="L114" s="624">
        <f t="shared" si="15"/>
        <v>164.1132971625</v>
      </c>
      <c r="M114" s="40" t="s">
        <v>42</v>
      </c>
      <c r="N114" s="62">
        <f t="shared" si="7"/>
        <v>45444</v>
      </c>
    </row>
    <row r="115" spans="2:14">
      <c r="B115" s="65" t="s">
        <v>745</v>
      </c>
      <c r="C115" s="11">
        <v>0.84</v>
      </c>
      <c r="D115" s="11">
        <v>268.47000000000003</v>
      </c>
      <c r="E115" s="12">
        <f>E113</f>
        <v>0.35</v>
      </c>
      <c r="F115" s="11">
        <v>0.69</v>
      </c>
      <c r="G115" s="11">
        <v>238.76</v>
      </c>
      <c r="H115" s="11">
        <v>126.61</v>
      </c>
      <c r="I115" s="12">
        <f>I113</f>
        <v>0.35</v>
      </c>
      <c r="J115" s="11">
        <v>0.8</v>
      </c>
      <c r="K115" s="82">
        <v>31.049999999999997</v>
      </c>
      <c r="L115" s="624">
        <f t="shared" si="15"/>
        <v>257.15922513749996</v>
      </c>
      <c r="M115" s="40" t="s">
        <v>42</v>
      </c>
      <c r="N115" s="62">
        <f t="shared" si="7"/>
        <v>45444</v>
      </c>
    </row>
    <row r="116" spans="2:14" ht="15.75" thickBot="1">
      <c r="B116" s="71" t="s">
        <v>716</v>
      </c>
      <c r="C116" s="14">
        <v>0.8</v>
      </c>
      <c r="D116" s="14">
        <v>264.27</v>
      </c>
      <c r="E116" s="15">
        <f>E115</f>
        <v>0.35</v>
      </c>
      <c r="F116" s="14">
        <v>0.69</v>
      </c>
      <c r="G116" s="26">
        <v>450.78</v>
      </c>
      <c r="H116" s="26">
        <v>254.69</v>
      </c>
      <c r="I116" s="15">
        <f>I115</f>
        <v>0.35</v>
      </c>
      <c r="J116" s="14">
        <v>0.8</v>
      </c>
      <c r="K116" s="87">
        <v>41.169999999999995</v>
      </c>
      <c r="L116" s="646">
        <f t="shared" si="15"/>
        <v>333.48641821249993</v>
      </c>
      <c r="M116" s="40" t="s">
        <v>42</v>
      </c>
      <c r="N116" s="62">
        <f t="shared" si="7"/>
        <v>45444</v>
      </c>
    </row>
    <row r="117" spans="2:14">
      <c r="M117" s="40" t="s">
        <v>42</v>
      </c>
      <c r="N117" s="62">
        <f t="shared" si="7"/>
        <v>45444</v>
      </c>
    </row>
    <row r="118" spans="2:14">
      <c r="M118" s="40" t="s">
        <v>42</v>
      </c>
      <c r="N118" s="62">
        <f t="shared" si="7"/>
        <v>45444</v>
      </c>
    </row>
    <row r="119" spans="2:14" ht="15.75" thickBot="1">
      <c r="M119" s="40" t="s">
        <v>42</v>
      </c>
      <c r="N119" s="62">
        <f t="shared" si="7"/>
        <v>45444</v>
      </c>
    </row>
    <row r="120" spans="2:14" ht="60.75" thickBot="1">
      <c r="B120" s="54" t="s">
        <v>748</v>
      </c>
      <c r="C120" s="55" t="s">
        <v>611</v>
      </c>
      <c r="D120" s="55" t="s">
        <v>612</v>
      </c>
      <c r="E120" s="55" t="s">
        <v>613</v>
      </c>
      <c r="F120" s="55" t="s">
        <v>611</v>
      </c>
      <c r="G120" s="55" t="s">
        <v>614</v>
      </c>
      <c r="H120" s="55" t="s">
        <v>615</v>
      </c>
      <c r="I120" s="55" t="s">
        <v>613</v>
      </c>
      <c r="J120" s="55" t="s">
        <v>611</v>
      </c>
      <c r="K120" s="55" t="s">
        <v>749</v>
      </c>
      <c r="L120" s="673" t="s">
        <v>617</v>
      </c>
      <c r="M120" s="40" t="s">
        <v>42</v>
      </c>
      <c r="N120" s="62">
        <f t="shared" si="7"/>
        <v>45444</v>
      </c>
    </row>
    <row r="121" spans="2:14">
      <c r="B121" s="65" t="s">
        <v>743</v>
      </c>
      <c r="C121" s="11">
        <v>0.93</v>
      </c>
      <c r="D121" s="11">
        <v>60.62</v>
      </c>
      <c r="E121" s="12">
        <v>0.35</v>
      </c>
      <c r="F121" s="11">
        <v>0.69</v>
      </c>
      <c r="G121" s="11">
        <v>137.22999999999999</v>
      </c>
      <c r="H121" s="11">
        <v>32.93</v>
      </c>
      <c r="I121" s="12">
        <v>0.35</v>
      </c>
      <c r="J121" s="11">
        <v>0.8</v>
      </c>
      <c r="K121" s="82">
        <f>23.17+24.68</f>
        <v>47.85</v>
      </c>
      <c r="L121" s="624">
        <f t="shared" ref="L121:L126" si="16">(C121*(D121-D121*E121)+F121*((G121+H121)-(G121+H121)*I121)/2+J121*K121)*1.015</f>
        <v>114.77941754999999</v>
      </c>
      <c r="M121" s="40" t="s">
        <v>42</v>
      </c>
      <c r="N121" s="62">
        <f t="shared" si="7"/>
        <v>45444</v>
      </c>
    </row>
    <row r="122" spans="2:14">
      <c r="B122" s="65" t="s">
        <v>744</v>
      </c>
      <c r="C122" s="11">
        <v>0.84</v>
      </c>
      <c r="D122" s="11">
        <v>87.23</v>
      </c>
      <c r="E122" s="12">
        <v>0.35</v>
      </c>
      <c r="F122" s="11">
        <v>0.69</v>
      </c>
      <c r="G122" s="11">
        <v>67.430000000000007</v>
      </c>
      <c r="H122" s="11">
        <v>81.28</v>
      </c>
      <c r="I122" s="12">
        <v>0.35</v>
      </c>
      <c r="J122" s="11">
        <v>0.8</v>
      </c>
      <c r="K122" s="82">
        <f>32.07+31.49</f>
        <v>63.56</v>
      </c>
      <c r="L122" s="624">
        <f t="shared" si="16"/>
        <v>133.80115446249999</v>
      </c>
      <c r="M122" s="40" t="s">
        <v>42</v>
      </c>
      <c r="N122" s="62">
        <f t="shared" si="7"/>
        <v>45444</v>
      </c>
    </row>
    <row r="123" spans="2:14">
      <c r="B123" s="65" t="s">
        <v>745</v>
      </c>
      <c r="C123" s="11">
        <v>0.84</v>
      </c>
      <c r="D123" s="11">
        <v>123.82</v>
      </c>
      <c r="E123" s="12">
        <v>0.35</v>
      </c>
      <c r="F123" s="11">
        <v>0.69</v>
      </c>
      <c r="G123" s="11">
        <v>251.08</v>
      </c>
      <c r="H123" s="11">
        <v>135.41</v>
      </c>
      <c r="I123" s="12">
        <f>I121</f>
        <v>0.35</v>
      </c>
      <c r="J123" s="11">
        <v>0.8</v>
      </c>
      <c r="K123" s="82">
        <f>52.67+54.91</f>
        <v>107.58</v>
      </c>
      <c r="L123" s="624">
        <f t="shared" si="16"/>
        <v>243.94520403749999</v>
      </c>
      <c r="M123" s="40" t="s">
        <v>42</v>
      </c>
      <c r="N123" s="62">
        <f t="shared" si="7"/>
        <v>45444</v>
      </c>
    </row>
    <row r="124" spans="2:14">
      <c r="B124" s="65" t="s">
        <v>716</v>
      </c>
      <c r="C124" s="11">
        <v>0.8</v>
      </c>
      <c r="D124" s="11">
        <v>203.25</v>
      </c>
      <c r="E124" s="12">
        <f>E123</f>
        <v>0.35</v>
      </c>
      <c r="F124" s="11">
        <v>0.69</v>
      </c>
      <c r="G124" s="11">
        <v>285.91000000000003</v>
      </c>
      <c r="H124" s="11">
        <v>158.54</v>
      </c>
      <c r="I124" s="12">
        <f>I123</f>
        <v>0.35</v>
      </c>
      <c r="J124" s="11">
        <v>0.8</v>
      </c>
      <c r="K124" s="82">
        <f>104.37+127.19</f>
        <v>231.56</v>
      </c>
      <c r="L124" s="624">
        <f t="shared" si="16"/>
        <v>396.46500118749998</v>
      </c>
      <c r="M124" s="40" t="s">
        <v>42</v>
      </c>
      <c r="N124" s="62">
        <f t="shared" si="7"/>
        <v>45444</v>
      </c>
    </row>
    <row r="125" spans="2:14">
      <c r="B125" s="65" t="s">
        <v>718</v>
      </c>
      <c r="C125" s="11">
        <v>0.8</v>
      </c>
      <c r="D125" s="11">
        <v>327.39</v>
      </c>
      <c r="E125" s="12">
        <f>E124</f>
        <v>0.35</v>
      </c>
      <c r="F125" s="11">
        <v>0.6</v>
      </c>
      <c r="G125" s="11">
        <v>532.80999999999995</v>
      </c>
      <c r="H125" s="11">
        <v>178.48</v>
      </c>
      <c r="I125" s="12">
        <f>I124</f>
        <v>0.35</v>
      </c>
      <c r="J125" s="11">
        <v>0.8</v>
      </c>
      <c r="K125" s="82">
        <f>206.24+188.5</f>
        <v>394.74</v>
      </c>
      <c r="L125" s="624">
        <f t="shared" si="16"/>
        <v>634.10739524999997</v>
      </c>
      <c r="M125" s="40" t="s">
        <v>42</v>
      </c>
      <c r="N125" s="62">
        <f t="shared" si="7"/>
        <v>45444</v>
      </c>
    </row>
    <row r="126" spans="2:14" ht="15.75" thickBot="1">
      <c r="B126" s="71" t="s">
        <v>720</v>
      </c>
      <c r="C126" s="14">
        <v>0.75</v>
      </c>
      <c r="D126" s="14">
        <v>535.62</v>
      </c>
      <c r="E126" s="15">
        <f>E125</f>
        <v>0.35</v>
      </c>
      <c r="F126" s="14">
        <v>0.55000000000000004</v>
      </c>
      <c r="G126" s="14">
        <v>2134.44</v>
      </c>
      <c r="H126" s="14">
        <v>367.22</v>
      </c>
      <c r="I126" s="15">
        <f>I125</f>
        <v>0.35</v>
      </c>
      <c r="J126" s="14">
        <v>0.8</v>
      </c>
      <c r="K126" s="87">
        <f>358.94+334.06</f>
        <v>693</v>
      </c>
      <c r="L126" s="646">
        <f t="shared" si="16"/>
        <v>1281.6267721249999</v>
      </c>
      <c r="M126" s="40" t="s">
        <v>42</v>
      </c>
      <c r="N126" s="62">
        <f t="shared" si="7"/>
        <v>45444</v>
      </c>
    </row>
    <row r="127" spans="2:14">
      <c r="N127" s="40"/>
    </row>
    <row r="128" spans="2:14" ht="15.75" thickBot="1">
      <c r="N128" s="40"/>
    </row>
    <row r="129" spans="2:14" ht="30.75" thickBot="1">
      <c r="B129" s="54" t="s">
        <v>750</v>
      </c>
      <c r="C129" s="55" t="s">
        <v>611</v>
      </c>
      <c r="D129" s="55" t="s">
        <v>612</v>
      </c>
      <c r="E129" s="55" t="s">
        <v>613</v>
      </c>
      <c r="F129" s="55" t="s">
        <v>611</v>
      </c>
      <c r="G129" s="55" t="s">
        <v>614</v>
      </c>
      <c r="H129" s="55" t="s">
        <v>615</v>
      </c>
      <c r="I129" s="55" t="s">
        <v>613</v>
      </c>
      <c r="J129" s="55" t="s">
        <v>611</v>
      </c>
      <c r="K129" s="55" t="s">
        <v>616</v>
      </c>
      <c r="L129" s="673" t="s">
        <v>617</v>
      </c>
      <c r="M129" s="40" t="s">
        <v>372</v>
      </c>
      <c r="N129" s="40"/>
    </row>
    <row r="130" spans="2:14">
      <c r="B130" s="58" t="s">
        <v>751</v>
      </c>
      <c r="C130" s="59">
        <v>0.93</v>
      </c>
      <c r="D130" s="636">
        <f>95.88/3</f>
        <v>31.959999999999997</v>
      </c>
      <c r="E130" s="60">
        <v>0.1</v>
      </c>
      <c r="F130" s="59">
        <v>0.6</v>
      </c>
      <c r="G130" s="99">
        <v>44.45</v>
      </c>
      <c r="H130" s="99">
        <v>9.18</v>
      </c>
      <c r="I130" s="60">
        <v>0.1</v>
      </c>
      <c r="J130" s="59">
        <v>0.8</v>
      </c>
      <c r="K130" s="61">
        <v>13.742499999999998</v>
      </c>
      <c r="L130" s="637">
        <f>(C130*(D130-D130*E130)+F130*((G130+H130)-(G130+H130)*I130)/2+J130*K130)*1.015</f>
        <v>53.007989299999998</v>
      </c>
      <c r="M130" s="40" t="s">
        <v>372</v>
      </c>
      <c r="N130" s="40"/>
    </row>
    <row r="131" spans="2:14">
      <c r="B131" s="65" t="s">
        <v>752</v>
      </c>
      <c r="C131" s="11">
        <v>0.84</v>
      </c>
      <c r="D131" s="623">
        <f>203.06/3</f>
        <v>67.686666666666667</v>
      </c>
      <c r="E131" s="12">
        <f>E130</f>
        <v>0.1</v>
      </c>
      <c r="F131" s="11">
        <v>0.69</v>
      </c>
      <c r="G131" s="23">
        <v>64.739999999999995</v>
      </c>
      <c r="H131" s="23">
        <v>34.950000000000003</v>
      </c>
      <c r="I131" s="12">
        <v>0.1</v>
      </c>
      <c r="J131" s="11">
        <v>0.8</v>
      </c>
      <c r="K131" s="82">
        <v>31.049999999999997</v>
      </c>
      <c r="L131" s="624">
        <f>(C131*(D131-D131*E131)+F131*((G131+H131)-(G131+H131)*I131)/2+J131*K131)*1.015</f>
        <v>108.569337975</v>
      </c>
      <c r="M131" s="40" t="s">
        <v>372</v>
      </c>
      <c r="N131" s="40"/>
    </row>
    <row r="132" spans="2:14">
      <c r="B132" s="65" t="s">
        <v>716</v>
      </c>
      <c r="C132" s="11">
        <v>0.8</v>
      </c>
      <c r="D132" s="623">
        <f>308.75/3</f>
        <v>102.91666666666667</v>
      </c>
      <c r="E132" s="12">
        <f>E131</f>
        <v>0.1</v>
      </c>
      <c r="F132" s="11">
        <v>0.69</v>
      </c>
      <c r="G132" s="23">
        <v>143.4</v>
      </c>
      <c r="H132" s="23">
        <v>49.5</v>
      </c>
      <c r="I132" s="12">
        <f>I131</f>
        <v>0.1</v>
      </c>
      <c r="J132" s="11">
        <v>0.8</v>
      </c>
      <c r="K132" s="82">
        <v>41.169999999999995</v>
      </c>
      <c r="L132" s="3">
        <f>(C132*(D132-D132*E132)+F132*((G132+H132)-(G132+H132)*I132)/2+J132*K132)*1.015</f>
        <v>169.43542174999999</v>
      </c>
      <c r="M132" s="40" t="s">
        <v>372</v>
      </c>
      <c r="N132" s="40"/>
    </row>
    <row r="133" spans="2:14">
      <c r="B133" s="65" t="s">
        <v>718</v>
      </c>
      <c r="C133" s="11">
        <v>0.8</v>
      </c>
      <c r="D133" s="623">
        <f>491.63/3</f>
        <v>163.87666666666667</v>
      </c>
      <c r="E133" s="12">
        <f>E132</f>
        <v>0.1</v>
      </c>
      <c r="F133" s="11">
        <v>0.6</v>
      </c>
      <c r="G133" s="23">
        <v>441</v>
      </c>
      <c r="H133" s="23">
        <v>162.5</v>
      </c>
      <c r="I133" s="12">
        <f>I132</f>
        <v>0.1</v>
      </c>
      <c r="J133" s="11">
        <v>0.8</v>
      </c>
      <c r="K133" s="82">
        <v>48.3</v>
      </c>
      <c r="L133" s="624">
        <f>(C133*(D133-D133*E133)+F133*((G133+H133)-(G133+H133)*I133)/2+J133*K133)*1.015</f>
        <v>324.36984299999995</v>
      </c>
      <c r="M133" s="40" t="s">
        <v>372</v>
      </c>
      <c r="N133" s="40"/>
    </row>
    <row r="134" spans="2:14">
      <c r="B134" s="65" t="s">
        <v>720</v>
      </c>
      <c r="C134" s="11">
        <v>0.75</v>
      </c>
      <c r="D134" s="623">
        <f>688.75/3</f>
        <v>229.58333333333334</v>
      </c>
      <c r="E134" s="12">
        <f>E133</f>
        <v>0.1</v>
      </c>
      <c r="F134" s="11">
        <v>0.55000000000000004</v>
      </c>
      <c r="G134" s="23">
        <v>1528</v>
      </c>
      <c r="H134" s="23">
        <v>309.14999999999998</v>
      </c>
      <c r="I134" s="12">
        <f>I133</f>
        <v>0.1</v>
      </c>
      <c r="J134" s="11">
        <v>0.8</v>
      </c>
      <c r="K134" s="82">
        <v>57.499999999999993</v>
      </c>
      <c r="L134" s="624">
        <f>(C134*(D134-D134*E134)+F134*((G134+H134)-(G134+H134)*I134)/2+J134*K134)*1.015</f>
        <v>665.49832562500001</v>
      </c>
      <c r="M134" s="40" t="s">
        <v>372</v>
      </c>
      <c r="N134" s="40"/>
    </row>
    <row r="135" spans="2:14">
      <c r="N135" s="40"/>
    </row>
    <row r="136" spans="2:14" ht="15.75" thickBot="1">
      <c r="N136" s="40"/>
    </row>
    <row r="137" spans="2:14" ht="30.75" thickBot="1">
      <c r="B137" s="54" t="s">
        <v>753</v>
      </c>
      <c r="C137" s="55" t="s">
        <v>611</v>
      </c>
      <c r="D137" s="55" t="s">
        <v>612</v>
      </c>
      <c r="E137" s="55" t="s">
        <v>613</v>
      </c>
      <c r="F137" s="55" t="s">
        <v>611</v>
      </c>
      <c r="G137" s="55" t="s">
        <v>614</v>
      </c>
      <c r="H137" s="55" t="s">
        <v>615</v>
      </c>
      <c r="I137" s="55" t="s">
        <v>613</v>
      </c>
      <c r="J137" s="55" t="s">
        <v>611</v>
      </c>
      <c r="K137" s="55" t="s">
        <v>616</v>
      </c>
      <c r="L137" s="673" t="s">
        <v>617</v>
      </c>
      <c r="M137" s="40" t="s">
        <v>383</v>
      </c>
      <c r="N137" s="62">
        <v>45658</v>
      </c>
    </row>
    <row r="138" spans="2:14">
      <c r="B138" s="114" t="s">
        <v>754</v>
      </c>
      <c r="C138" s="115">
        <v>1.04</v>
      </c>
      <c r="D138" s="115">
        <v>9.3800000000000008</v>
      </c>
      <c r="E138" s="60">
        <v>0.35</v>
      </c>
      <c r="F138" s="115">
        <v>0.36</v>
      </c>
      <c r="G138" s="115">
        <v>2.02</v>
      </c>
      <c r="H138" s="115">
        <v>2.38</v>
      </c>
      <c r="I138" s="60">
        <v>0.35</v>
      </c>
      <c r="J138" s="115">
        <v>1</v>
      </c>
      <c r="K138" s="115">
        <v>5.6004999999999994</v>
      </c>
      <c r="L138" s="675">
        <f t="shared" ref="L138:L143" si="17">(C138*(D138-D138*E138)+F138*((G138+H138)-(G138+H138)*I138)/2+J138*K138)*1.015</f>
        <v>12.643022699999998</v>
      </c>
      <c r="M138" s="40" t="s">
        <v>383</v>
      </c>
      <c r="N138" s="62">
        <f>N137</f>
        <v>45658</v>
      </c>
    </row>
    <row r="139" spans="2:14">
      <c r="B139" s="65" t="s">
        <v>755</v>
      </c>
      <c r="C139" s="92">
        <v>1.04</v>
      </c>
      <c r="D139" s="92">
        <v>16.13</v>
      </c>
      <c r="E139" s="60">
        <v>0.35</v>
      </c>
      <c r="F139" s="92">
        <v>0.36</v>
      </c>
      <c r="G139" s="92">
        <v>4.37</v>
      </c>
      <c r="H139" s="92">
        <v>3.42</v>
      </c>
      <c r="I139" s="60">
        <v>0.35</v>
      </c>
      <c r="J139" s="92">
        <v>1</v>
      </c>
      <c r="K139" s="92">
        <v>5.6004999999999994</v>
      </c>
      <c r="L139" s="676">
        <f t="shared" si="17"/>
        <v>17.67704715</v>
      </c>
      <c r="M139" s="40" t="s">
        <v>383</v>
      </c>
      <c r="N139" s="62">
        <f t="shared" ref="N139:N166" si="18">N138</f>
        <v>45658</v>
      </c>
    </row>
    <row r="140" spans="2:14">
      <c r="B140" s="65" t="s">
        <v>756</v>
      </c>
      <c r="C140" s="92">
        <v>1.04</v>
      </c>
      <c r="D140" s="92">
        <v>30.24</v>
      </c>
      <c r="E140" s="60">
        <v>0.35</v>
      </c>
      <c r="F140" s="92">
        <v>0.36</v>
      </c>
      <c r="G140" s="92">
        <v>22.06</v>
      </c>
      <c r="H140" s="92">
        <v>8</v>
      </c>
      <c r="I140" s="60">
        <v>0.35</v>
      </c>
      <c r="J140" s="92">
        <v>1</v>
      </c>
      <c r="K140" s="92">
        <v>5.6004999999999994</v>
      </c>
      <c r="L140" s="676">
        <f t="shared" si="17"/>
        <v>30.003156399999995</v>
      </c>
      <c r="M140" s="40" t="s">
        <v>383</v>
      </c>
      <c r="N140" s="62">
        <f t="shared" si="18"/>
        <v>45658</v>
      </c>
    </row>
    <row r="141" spans="2:14">
      <c r="B141" s="65" t="s">
        <v>757</v>
      </c>
      <c r="C141" s="92">
        <v>1.04</v>
      </c>
      <c r="D141" s="92">
        <v>47.58</v>
      </c>
      <c r="E141" s="60">
        <v>0.35</v>
      </c>
      <c r="F141" s="92">
        <v>0.36</v>
      </c>
      <c r="G141" s="92">
        <v>34.6</v>
      </c>
      <c r="H141" s="92">
        <v>18.32</v>
      </c>
      <c r="I141" s="60">
        <v>0.35</v>
      </c>
      <c r="J141" s="92">
        <v>1</v>
      </c>
      <c r="K141" s="92">
        <v>5.6004999999999994</v>
      </c>
      <c r="L141" s="676">
        <f t="shared" si="17"/>
        <v>44.615563299999991</v>
      </c>
      <c r="M141" s="40" t="s">
        <v>383</v>
      </c>
      <c r="N141" s="62">
        <f t="shared" si="18"/>
        <v>45658</v>
      </c>
    </row>
    <row r="142" spans="2:14">
      <c r="B142" s="65" t="s">
        <v>758</v>
      </c>
      <c r="C142" s="92">
        <v>1.04</v>
      </c>
      <c r="D142" s="92">
        <v>63.82</v>
      </c>
      <c r="E142" s="60">
        <v>0.35</v>
      </c>
      <c r="F142" s="92">
        <v>0.36</v>
      </c>
      <c r="G142" s="92">
        <v>45.52</v>
      </c>
      <c r="H142" s="92">
        <v>28.69</v>
      </c>
      <c r="I142" s="60">
        <v>0.35</v>
      </c>
      <c r="J142" s="92">
        <v>1</v>
      </c>
      <c r="K142" s="92">
        <v>5.6004999999999994</v>
      </c>
      <c r="L142" s="676">
        <f t="shared" si="17"/>
        <v>58.286770849999996</v>
      </c>
      <c r="M142" s="40" t="s">
        <v>383</v>
      </c>
      <c r="N142" s="62">
        <f t="shared" si="18"/>
        <v>45658</v>
      </c>
    </row>
    <row r="143" spans="2:14" ht="15.75" thickBot="1">
      <c r="B143" s="71" t="s">
        <v>759</v>
      </c>
      <c r="C143" s="93">
        <v>1.04</v>
      </c>
      <c r="D143" s="93">
        <v>108.74</v>
      </c>
      <c r="E143" s="60">
        <v>0.35</v>
      </c>
      <c r="F143" s="93">
        <v>0.36</v>
      </c>
      <c r="G143" s="93">
        <v>73.510000000000005</v>
      </c>
      <c r="H143" s="93">
        <v>60.42</v>
      </c>
      <c r="I143" s="60">
        <v>0.35</v>
      </c>
      <c r="J143" s="93">
        <v>1</v>
      </c>
      <c r="K143" s="93">
        <v>5.6004999999999994</v>
      </c>
      <c r="L143" s="677">
        <f t="shared" si="17"/>
        <v>96.200228249999981</v>
      </c>
      <c r="M143" s="40" t="s">
        <v>383</v>
      </c>
      <c r="N143" s="62">
        <f t="shared" si="18"/>
        <v>45658</v>
      </c>
    </row>
    <row r="144" spans="2:14">
      <c r="M144" s="40" t="s">
        <v>383</v>
      </c>
      <c r="N144" s="62">
        <f t="shared" si="18"/>
        <v>45658</v>
      </c>
    </row>
    <row r="145" spans="2:14" ht="15.75" thickBot="1">
      <c r="M145" s="40" t="s">
        <v>383</v>
      </c>
      <c r="N145" s="62">
        <f t="shared" si="18"/>
        <v>45658</v>
      </c>
    </row>
    <row r="146" spans="2:14" ht="30.75" thickBot="1">
      <c r="B146" s="116" t="s">
        <v>760</v>
      </c>
      <c r="C146" s="117" t="s">
        <v>611</v>
      </c>
      <c r="D146" s="55" t="s">
        <v>612</v>
      </c>
      <c r="E146" s="55" t="s">
        <v>613</v>
      </c>
      <c r="F146" s="55" t="s">
        <v>611</v>
      </c>
      <c r="G146" s="55" t="s">
        <v>614</v>
      </c>
      <c r="H146" s="55" t="s">
        <v>615</v>
      </c>
      <c r="I146" s="55" t="s">
        <v>613</v>
      </c>
      <c r="J146" s="55" t="s">
        <v>611</v>
      </c>
      <c r="K146" s="56" t="s">
        <v>616</v>
      </c>
      <c r="L146" s="666" t="s">
        <v>617</v>
      </c>
      <c r="M146" s="40" t="s">
        <v>383</v>
      </c>
      <c r="N146" s="62">
        <f t="shared" si="18"/>
        <v>45658</v>
      </c>
    </row>
    <row r="147" spans="2:14">
      <c r="B147" s="118" t="s">
        <v>754</v>
      </c>
      <c r="C147" s="119">
        <v>1.04</v>
      </c>
      <c r="D147" s="115">
        <v>4.82</v>
      </c>
      <c r="E147" s="60">
        <v>0.35</v>
      </c>
      <c r="F147" s="115">
        <v>0.36</v>
      </c>
      <c r="G147" s="120">
        <v>2.81</v>
      </c>
      <c r="H147" s="120">
        <v>2.36</v>
      </c>
      <c r="I147" s="60">
        <v>0.35</v>
      </c>
      <c r="J147" s="115">
        <v>1</v>
      </c>
      <c r="K147" s="121">
        <v>5.6004999999999994</v>
      </c>
      <c r="L147" s="678">
        <f t="shared" ref="L147:L154" si="19">(C147*(D147-D147*E147)+F147*((G147+H147)-(G147+H147)*I147)/2+J147*K147)*1.015</f>
        <v>9.6056656499999988</v>
      </c>
      <c r="M147" s="40" t="s">
        <v>383</v>
      </c>
      <c r="N147" s="62">
        <f t="shared" si="18"/>
        <v>45658</v>
      </c>
    </row>
    <row r="148" spans="2:14">
      <c r="B148" s="122" t="s">
        <v>755</v>
      </c>
      <c r="C148" s="123">
        <v>1.04</v>
      </c>
      <c r="D148" s="92">
        <v>6.38</v>
      </c>
      <c r="E148" s="60">
        <v>0.35</v>
      </c>
      <c r="F148" s="92">
        <v>0.36</v>
      </c>
      <c r="G148" s="124">
        <v>3.56</v>
      </c>
      <c r="H148" s="124">
        <v>2.4300000000000002</v>
      </c>
      <c r="I148" s="60">
        <v>0.35</v>
      </c>
      <c r="J148" s="92">
        <v>1</v>
      </c>
      <c r="K148" s="125">
        <v>5.6004999999999994</v>
      </c>
      <c r="L148" s="679">
        <f t="shared" si="19"/>
        <v>10.773423149999999</v>
      </c>
      <c r="M148" s="40" t="s">
        <v>383</v>
      </c>
      <c r="N148" s="62">
        <f t="shared" si="18"/>
        <v>45658</v>
      </c>
    </row>
    <row r="149" spans="2:14">
      <c r="B149" s="122" t="s">
        <v>756</v>
      </c>
      <c r="C149" s="123">
        <v>1.04</v>
      </c>
      <c r="D149" s="92">
        <v>10.72</v>
      </c>
      <c r="E149" s="60">
        <v>0.35</v>
      </c>
      <c r="F149" s="92">
        <v>0.36</v>
      </c>
      <c r="G149" s="124">
        <v>6.5</v>
      </c>
      <c r="H149" s="124">
        <v>4.9800000000000004</v>
      </c>
      <c r="I149" s="60">
        <v>0.35</v>
      </c>
      <c r="J149" s="92">
        <v>1</v>
      </c>
      <c r="K149" s="125">
        <v>5.6004999999999994</v>
      </c>
      <c r="L149" s="679">
        <f t="shared" si="19"/>
        <v>14.4032357</v>
      </c>
      <c r="M149" s="40" t="s">
        <v>383</v>
      </c>
      <c r="N149" s="62">
        <f t="shared" si="18"/>
        <v>45658</v>
      </c>
    </row>
    <row r="150" spans="2:14">
      <c r="B150" s="122" t="s">
        <v>757</v>
      </c>
      <c r="C150" s="123">
        <v>1.04</v>
      </c>
      <c r="D150" s="92">
        <v>18.66</v>
      </c>
      <c r="E150" s="60">
        <v>0.35</v>
      </c>
      <c r="F150" s="92">
        <v>0.36</v>
      </c>
      <c r="G150" s="124">
        <v>10.17</v>
      </c>
      <c r="H150" s="124">
        <v>9.74</v>
      </c>
      <c r="I150" s="60">
        <v>0.35</v>
      </c>
      <c r="J150" s="92">
        <v>1</v>
      </c>
      <c r="K150" s="125">
        <v>5.6004999999999994</v>
      </c>
      <c r="L150" s="679">
        <f t="shared" si="19"/>
        <v>20.852291950000001</v>
      </c>
      <c r="M150" s="40" t="s">
        <v>383</v>
      </c>
      <c r="N150" s="62">
        <f t="shared" si="18"/>
        <v>45658</v>
      </c>
    </row>
    <row r="151" spans="2:14">
      <c r="B151" s="122" t="s">
        <v>758</v>
      </c>
      <c r="C151" s="123">
        <v>1.04</v>
      </c>
      <c r="D151" s="92">
        <v>22.84</v>
      </c>
      <c r="E151" s="60">
        <v>0.35</v>
      </c>
      <c r="F151" s="92">
        <v>0.36</v>
      </c>
      <c r="G151" s="124">
        <v>12.38</v>
      </c>
      <c r="H151" s="124">
        <v>10.33</v>
      </c>
      <c r="I151" s="60">
        <v>0.35</v>
      </c>
      <c r="J151" s="92">
        <v>1</v>
      </c>
      <c r="K151" s="125">
        <v>5.6004999999999994</v>
      </c>
      <c r="L151" s="679">
        <f t="shared" si="19"/>
        <v>24.052871149999998</v>
      </c>
      <c r="M151" s="40" t="s">
        <v>383</v>
      </c>
      <c r="N151" s="62">
        <f t="shared" si="18"/>
        <v>45658</v>
      </c>
    </row>
    <row r="152" spans="2:14">
      <c r="B152" s="122" t="s">
        <v>759</v>
      </c>
      <c r="C152" s="123">
        <v>1.04</v>
      </c>
      <c r="D152" s="92">
        <v>34.979999999999997</v>
      </c>
      <c r="E152" s="60">
        <v>0.35</v>
      </c>
      <c r="F152" s="92">
        <v>0.36</v>
      </c>
      <c r="G152" s="124">
        <v>18.39</v>
      </c>
      <c r="H152" s="124">
        <v>14.79</v>
      </c>
      <c r="I152" s="60">
        <v>0.35</v>
      </c>
      <c r="J152" s="92">
        <v>1</v>
      </c>
      <c r="K152" s="125">
        <v>5.6004999999999994</v>
      </c>
      <c r="L152" s="679">
        <f t="shared" si="19"/>
        <v>33.62597559999999</v>
      </c>
      <c r="M152" s="40" t="s">
        <v>383</v>
      </c>
      <c r="N152" s="62">
        <f t="shared" si="18"/>
        <v>45658</v>
      </c>
    </row>
    <row r="153" spans="2:14">
      <c r="B153" s="122" t="s">
        <v>761</v>
      </c>
      <c r="C153" s="123">
        <v>1</v>
      </c>
      <c r="D153" s="92">
        <v>88.11</v>
      </c>
      <c r="E153" s="60">
        <v>0.35</v>
      </c>
      <c r="F153" s="92">
        <v>0.47</v>
      </c>
      <c r="G153" s="124">
        <v>79.95</v>
      </c>
      <c r="H153" s="124">
        <v>55.64</v>
      </c>
      <c r="I153" s="60">
        <v>0.35</v>
      </c>
      <c r="J153" s="92">
        <v>0.8</v>
      </c>
      <c r="K153" s="125">
        <v>8.8779999999999983</v>
      </c>
      <c r="L153" s="679">
        <f t="shared" si="19"/>
        <v>86.361551587499989</v>
      </c>
      <c r="M153" s="40" t="s">
        <v>383</v>
      </c>
      <c r="N153" s="62">
        <f t="shared" si="18"/>
        <v>45658</v>
      </c>
    </row>
    <row r="154" spans="2:14" ht="15.75" thickBot="1">
      <c r="B154" s="126" t="s">
        <v>762</v>
      </c>
      <c r="C154" s="127">
        <v>0.93</v>
      </c>
      <c r="D154" s="93">
        <v>125.46</v>
      </c>
      <c r="E154" s="60">
        <v>0.35</v>
      </c>
      <c r="F154" s="93">
        <v>0.6</v>
      </c>
      <c r="G154" s="128">
        <v>140.74</v>
      </c>
      <c r="H154" s="128">
        <v>101.65</v>
      </c>
      <c r="I154" s="60">
        <v>0.35</v>
      </c>
      <c r="J154" s="93">
        <v>0.8</v>
      </c>
      <c r="K154" s="129">
        <v>13.742499999999998</v>
      </c>
      <c r="L154" s="680">
        <f t="shared" si="19"/>
        <v>136.11212930000002</v>
      </c>
      <c r="M154" s="40" t="s">
        <v>383</v>
      </c>
      <c r="N154" s="62">
        <f t="shared" si="18"/>
        <v>45658</v>
      </c>
    </row>
    <row r="155" spans="2:14">
      <c r="M155" s="40" t="s">
        <v>383</v>
      </c>
      <c r="N155" s="62">
        <f t="shared" si="18"/>
        <v>45658</v>
      </c>
    </row>
    <row r="156" spans="2:14" ht="15.75" thickBot="1">
      <c r="M156" s="40" t="s">
        <v>383</v>
      </c>
      <c r="N156" s="62">
        <f t="shared" si="18"/>
        <v>45658</v>
      </c>
    </row>
    <row r="157" spans="2:14" ht="30.75" thickBot="1">
      <c r="B157" s="116" t="s">
        <v>763</v>
      </c>
      <c r="C157" s="117" t="s">
        <v>611</v>
      </c>
      <c r="D157" s="55" t="s">
        <v>612</v>
      </c>
      <c r="E157" s="55" t="s">
        <v>613</v>
      </c>
      <c r="F157" s="55" t="s">
        <v>611</v>
      </c>
      <c r="G157" s="55" t="s">
        <v>614</v>
      </c>
      <c r="H157" s="55" t="s">
        <v>615</v>
      </c>
      <c r="I157" s="55" t="s">
        <v>613</v>
      </c>
      <c r="J157" s="55" t="s">
        <v>611</v>
      </c>
      <c r="K157" s="56" t="s">
        <v>616</v>
      </c>
      <c r="L157" s="666" t="s">
        <v>617</v>
      </c>
      <c r="M157" s="40" t="s">
        <v>383</v>
      </c>
      <c r="N157" s="62">
        <f t="shared" si="18"/>
        <v>45658</v>
      </c>
    </row>
    <row r="158" spans="2:14">
      <c r="B158" s="130" t="s">
        <v>754</v>
      </c>
      <c r="C158" s="123">
        <v>1.04</v>
      </c>
      <c r="D158" s="92">
        <v>6.26</v>
      </c>
      <c r="E158" s="12">
        <v>0.35</v>
      </c>
      <c r="F158" s="92">
        <v>0.36</v>
      </c>
      <c r="G158" s="92">
        <v>2.81</v>
      </c>
      <c r="H158" s="92">
        <v>2.36</v>
      </c>
      <c r="I158" s="12">
        <v>0.35</v>
      </c>
      <c r="J158" s="92">
        <v>1</v>
      </c>
      <c r="K158" s="125">
        <v>5.6004999999999994</v>
      </c>
      <c r="L158" s="679">
        <f>(C158*(D158-D158*E158)+F158*((G158+H158)-(G158+H158)*I158)/2+J158*K158)*1.015</f>
        <v>10.593707249999998</v>
      </c>
      <c r="M158" s="40" t="s">
        <v>383</v>
      </c>
      <c r="N158" s="62">
        <f t="shared" si="18"/>
        <v>45658</v>
      </c>
    </row>
    <row r="159" spans="2:14">
      <c r="B159" s="122" t="s">
        <v>755</v>
      </c>
      <c r="C159" s="123">
        <v>1.04</v>
      </c>
      <c r="D159" s="92">
        <v>8.59</v>
      </c>
      <c r="E159" s="12">
        <v>0.35</v>
      </c>
      <c r="F159" s="92">
        <v>0.36</v>
      </c>
      <c r="G159" s="92">
        <v>3.56</v>
      </c>
      <c r="H159" s="92">
        <v>2.4300000000000002</v>
      </c>
      <c r="I159" s="12">
        <v>0.35</v>
      </c>
      <c r="J159" s="92">
        <v>1</v>
      </c>
      <c r="K159" s="125">
        <v>5.6004999999999994</v>
      </c>
      <c r="L159" s="679">
        <f t="shared" ref="L159:L166" si="20">(C159*(D159-D159*E159)+F159*((G159+H159)-(G159+H159)*I159)/2+J159*K159)*1.015</f>
        <v>12.289792549999998</v>
      </c>
      <c r="M159" s="40" t="s">
        <v>383</v>
      </c>
      <c r="N159" s="62">
        <f t="shared" si="18"/>
        <v>45658</v>
      </c>
    </row>
    <row r="160" spans="2:14">
      <c r="B160" s="122" t="s">
        <v>756</v>
      </c>
      <c r="C160" s="123">
        <v>1.04</v>
      </c>
      <c r="D160" s="92">
        <v>13.83</v>
      </c>
      <c r="E160" s="12">
        <v>0.35</v>
      </c>
      <c r="F160" s="92">
        <v>0.36</v>
      </c>
      <c r="G160" s="92">
        <v>6.5</v>
      </c>
      <c r="H160" s="92">
        <v>4.9800000000000004</v>
      </c>
      <c r="I160" s="12">
        <v>0.35</v>
      </c>
      <c r="J160" s="92">
        <v>1</v>
      </c>
      <c r="K160" s="125">
        <v>5.6004999999999994</v>
      </c>
      <c r="L160" s="679">
        <f t="shared" si="20"/>
        <v>16.5371311</v>
      </c>
      <c r="M160" s="40" t="s">
        <v>383</v>
      </c>
      <c r="N160" s="62">
        <f t="shared" si="18"/>
        <v>45658</v>
      </c>
    </row>
    <row r="161" spans="2:14">
      <c r="B161" s="122" t="s">
        <v>757</v>
      </c>
      <c r="C161" s="123">
        <v>1.04</v>
      </c>
      <c r="D161" s="92">
        <v>22.18</v>
      </c>
      <c r="E161" s="12">
        <v>0.35</v>
      </c>
      <c r="F161" s="92">
        <v>0.36</v>
      </c>
      <c r="G161" s="92">
        <v>10.17</v>
      </c>
      <c r="H161" s="92">
        <v>9.74</v>
      </c>
      <c r="I161" s="12">
        <v>0.35</v>
      </c>
      <c r="J161" s="92">
        <v>1</v>
      </c>
      <c r="K161" s="125">
        <v>5.6004999999999994</v>
      </c>
      <c r="L161" s="679">
        <f t="shared" si="20"/>
        <v>23.267504750000001</v>
      </c>
      <c r="M161" s="40" t="s">
        <v>383</v>
      </c>
      <c r="N161" s="62">
        <f t="shared" si="18"/>
        <v>45658</v>
      </c>
    </row>
    <row r="162" spans="2:14">
      <c r="B162" s="122" t="s">
        <v>758</v>
      </c>
      <c r="C162" s="123">
        <v>1.04</v>
      </c>
      <c r="D162" s="92">
        <v>25.92</v>
      </c>
      <c r="E162" s="12">
        <v>0.35</v>
      </c>
      <c r="F162" s="92">
        <v>0.36</v>
      </c>
      <c r="G162" s="92">
        <v>12.38</v>
      </c>
      <c r="H162" s="92">
        <v>10.33</v>
      </c>
      <c r="I162" s="12">
        <v>0.35</v>
      </c>
      <c r="J162" s="92">
        <v>1</v>
      </c>
      <c r="K162" s="125">
        <v>5.6004999999999994</v>
      </c>
      <c r="L162" s="679">
        <f t="shared" si="20"/>
        <v>26.16618235</v>
      </c>
      <c r="M162" s="40" t="s">
        <v>383</v>
      </c>
      <c r="N162" s="62">
        <f t="shared" si="18"/>
        <v>45658</v>
      </c>
    </row>
    <row r="163" spans="2:14">
      <c r="B163" s="122" t="s">
        <v>759</v>
      </c>
      <c r="C163" s="123">
        <v>1.04</v>
      </c>
      <c r="D163" s="92">
        <v>34.979999999999997</v>
      </c>
      <c r="E163" s="12">
        <v>0.35</v>
      </c>
      <c r="F163" s="92">
        <v>0.36</v>
      </c>
      <c r="G163" s="92">
        <v>18.39</v>
      </c>
      <c r="H163" s="92">
        <v>14.79</v>
      </c>
      <c r="I163" s="12">
        <v>0.35</v>
      </c>
      <c r="J163" s="92">
        <v>1</v>
      </c>
      <c r="K163" s="125">
        <v>5.6004999999999994</v>
      </c>
      <c r="L163" s="679">
        <f t="shared" si="20"/>
        <v>33.62597559999999</v>
      </c>
      <c r="M163" s="40" t="s">
        <v>383</v>
      </c>
      <c r="N163" s="62">
        <f t="shared" si="18"/>
        <v>45658</v>
      </c>
    </row>
    <row r="164" spans="2:14">
      <c r="B164" s="122" t="s">
        <v>764</v>
      </c>
      <c r="C164" s="123">
        <v>1.04</v>
      </c>
      <c r="D164" s="92">
        <v>68.540000000000006</v>
      </c>
      <c r="E164" s="12">
        <v>0.35</v>
      </c>
      <c r="F164" s="92">
        <v>0.36</v>
      </c>
      <c r="G164" s="92">
        <v>68.7</v>
      </c>
      <c r="H164" s="92">
        <v>51.32</v>
      </c>
      <c r="I164" s="12">
        <v>0.35</v>
      </c>
      <c r="J164" s="92">
        <v>1</v>
      </c>
      <c r="K164" s="125">
        <v>8.8779999999999983</v>
      </c>
      <c r="L164" s="679">
        <f t="shared" si="20"/>
        <v>70.292180700000003</v>
      </c>
      <c r="M164" s="40" t="s">
        <v>383</v>
      </c>
      <c r="N164" s="62">
        <f t="shared" si="18"/>
        <v>45658</v>
      </c>
    </row>
    <row r="165" spans="2:14">
      <c r="B165" s="122" t="s">
        <v>761</v>
      </c>
      <c r="C165" s="123">
        <v>1</v>
      </c>
      <c r="D165" s="92">
        <v>88.11</v>
      </c>
      <c r="E165" s="12">
        <v>0.35</v>
      </c>
      <c r="F165" s="92">
        <v>0.47</v>
      </c>
      <c r="G165" s="92">
        <v>79.95</v>
      </c>
      <c r="H165" s="92">
        <v>55.64</v>
      </c>
      <c r="I165" s="12">
        <v>0.35</v>
      </c>
      <c r="J165" s="92">
        <v>0.8</v>
      </c>
      <c r="K165" s="125">
        <v>8.8779999999999983</v>
      </c>
      <c r="L165" s="679">
        <f t="shared" si="20"/>
        <v>86.361551587499989</v>
      </c>
      <c r="M165" s="40" t="s">
        <v>383</v>
      </c>
      <c r="N165" s="62">
        <f t="shared" si="18"/>
        <v>45658</v>
      </c>
    </row>
    <row r="166" spans="2:14" ht="15.75" thickBot="1">
      <c r="B166" s="126" t="s">
        <v>762</v>
      </c>
      <c r="C166" s="127">
        <v>0.93</v>
      </c>
      <c r="D166" s="93">
        <v>125.46</v>
      </c>
      <c r="E166" s="12">
        <v>0.35</v>
      </c>
      <c r="F166" s="93">
        <v>0.6</v>
      </c>
      <c r="G166" s="93">
        <v>140.74</v>
      </c>
      <c r="H166" s="93">
        <v>101.65</v>
      </c>
      <c r="I166" s="12">
        <v>0.35</v>
      </c>
      <c r="J166" s="93">
        <v>0.8</v>
      </c>
      <c r="K166" s="129">
        <v>13.742499999999998</v>
      </c>
      <c r="L166" s="680">
        <f t="shared" si="20"/>
        <v>136.11212930000002</v>
      </c>
      <c r="M166" s="40" t="s">
        <v>383</v>
      </c>
      <c r="N166" s="62">
        <f t="shared" si="18"/>
        <v>45658</v>
      </c>
    </row>
    <row r="167" spans="2:14">
      <c r="N167" s="40"/>
    </row>
    <row r="168" spans="2:14">
      <c r="N168" s="40"/>
    </row>
    <row r="169" spans="2:14">
      <c r="N169" s="40"/>
    </row>
    <row r="170" spans="2:14">
      <c r="N170" s="40"/>
    </row>
    <row r="171" spans="2:14">
      <c r="N171" s="40"/>
    </row>
    <row r="172" spans="2:14">
      <c r="N172" s="40"/>
    </row>
    <row r="173" spans="2:14">
      <c r="N173" s="40"/>
    </row>
    <row r="174" spans="2:14">
      <c r="N174" s="40"/>
    </row>
    <row r="175" spans="2:14">
      <c r="N175" s="40"/>
    </row>
    <row r="176" spans="2:14">
      <c r="N176" s="40"/>
    </row>
    <row r="177" spans="14:14">
      <c r="N177" s="40"/>
    </row>
    <row r="178" spans="14:14">
      <c r="N178" s="40"/>
    </row>
    <row r="179" spans="14:14">
      <c r="N179" s="40"/>
    </row>
    <row r="180" spans="14:14">
      <c r="N180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2955-31C1-4920-9986-D4376CB94B1D}">
  <dimension ref="A1:V437"/>
  <sheetViews>
    <sheetView workbookViewId="0">
      <selection activeCell="O20" sqref="O20"/>
    </sheetView>
  </sheetViews>
  <sheetFormatPr defaultRowHeight="15"/>
  <cols>
    <col min="2" max="2" width="15.5703125" customWidth="1"/>
    <col min="3" max="3" width="16.28515625" customWidth="1"/>
    <col min="14" max="14" width="14.85546875" customWidth="1"/>
    <col min="258" max="258" width="15.5703125" customWidth="1"/>
    <col min="259" max="259" width="16.28515625" customWidth="1"/>
    <col min="270" max="270" width="14.85546875" customWidth="1"/>
    <col min="514" max="514" width="15.5703125" customWidth="1"/>
    <col min="515" max="515" width="16.28515625" customWidth="1"/>
    <col min="526" max="526" width="14.85546875" customWidth="1"/>
    <col min="770" max="770" width="15.5703125" customWidth="1"/>
    <col min="771" max="771" width="16.28515625" customWidth="1"/>
    <col min="782" max="782" width="14.85546875" customWidth="1"/>
    <col min="1026" max="1026" width="15.5703125" customWidth="1"/>
    <col min="1027" max="1027" width="16.28515625" customWidth="1"/>
    <col min="1038" max="1038" width="14.85546875" customWidth="1"/>
    <col min="1282" max="1282" width="15.5703125" customWidth="1"/>
    <col min="1283" max="1283" width="16.28515625" customWidth="1"/>
    <col min="1294" max="1294" width="14.85546875" customWidth="1"/>
    <col min="1538" max="1538" width="15.5703125" customWidth="1"/>
    <col min="1539" max="1539" width="16.28515625" customWidth="1"/>
    <col min="1550" max="1550" width="14.85546875" customWidth="1"/>
    <col min="1794" max="1794" width="15.5703125" customWidth="1"/>
    <col min="1795" max="1795" width="16.28515625" customWidth="1"/>
    <col min="1806" max="1806" width="14.85546875" customWidth="1"/>
    <col min="2050" max="2050" width="15.5703125" customWidth="1"/>
    <col min="2051" max="2051" width="16.28515625" customWidth="1"/>
    <col min="2062" max="2062" width="14.85546875" customWidth="1"/>
    <col min="2306" max="2306" width="15.5703125" customWidth="1"/>
    <col min="2307" max="2307" width="16.28515625" customWidth="1"/>
    <col min="2318" max="2318" width="14.85546875" customWidth="1"/>
    <col min="2562" max="2562" width="15.5703125" customWidth="1"/>
    <col min="2563" max="2563" width="16.28515625" customWidth="1"/>
    <col min="2574" max="2574" width="14.85546875" customWidth="1"/>
    <col min="2818" max="2818" width="15.5703125" customWidth="1"/>
    <col min="2819" max="2819" width="16.28515625" customWidth="1"/>
    <col min="2830" max="2830" width="14.85546875" customWidth="1"/>
    <col min="3074" max="3074" width="15.5703125" customWidth="1"/>
    <col min="3075" max="3075" width="16.28515625" customWidth="1"/>
    <col min="3086" max="3086" width="14.85546875" customWidth="1"/>
    <col min="3330" max="3330" width="15.5703125" customWidth="1"/>
    <col min="3331" max="3331" width="16.28515625" customWidth="1"/>
    <col min="3342" max="3342" width="14.85546875" customWidth="1"/>
    <col min="3586" max="3586" width="15.5703125" customWidth="1"/>
    <col min="3587" max="3587" width="16.28515625" customWidth="1"/>
    <col min="3598" max="3598" width="14.85546875" customWidth="1"/>
    <col min="3842" max="3842" width="15.5703125" customWidth="1"/>
    <col min="3843" max="3843" width="16.28515625" customWidth="1"/>
    <col min="3854" max="3854" width="14.85546875" customWidth="1"/>
    <col min="4098" max="4098" width="15.5703125" customWidth="1"/>
    <col min="4099" max="4099" width="16.28515625" customWidth="1"/>
    <col min="4110" max="4110" width="14.85546875" customWidth="1"/>
    <col min="4354" max="4354" width="15.5703125" customWidth="1"/>
    <col min="4355" max="4355" width="16.28515625" customWidth="1"/>
    <col min="4366" max="4366" width="14.85546875" customWidth="1"/>
    <col min="4610" max="4610" width="15.5703125" customWidth="1"/>
    <col min="4611" max="4611" width="16.28515625" customWidth="1"/>
    <col min="4622" max="4622" width="14.85546875" customWidth="1"/>
    <col min="4866" max="4866" width="15.5703125" customWidth="1"/>
    <col min="4867" max="4867" width="16.28515625" customWidth="1"/>
    <col min="4878" max="4878" width="14.85546875" customWidth="1"/>
    <col min="5122" max="5122" width="15.5703125" customWidth="1"/>
    <col min="5123" max="5123" width="16.28515625" customWidth="1"/>
    <col min="5134" max="5134" width="14.85546875" customWidth="1"/>
    <col min="5378" max="5378" width="15.5703125" customWidth="1"/>
    <col min="5379" max="5379" width="16.28515625" customWidth="1"/>
    <col min="5390" max="5390" width="14.85546875" customWidth="1"/>
    <col min="5634" max="5634" width="15.5703125" customWidth="1"/>
    <col min="5635" max="5635" width="16.28515625" customWidth="1"/>
    <col min="5646" max="5646" width="14.85546875" customWidth="1"/>
    <col min="5890" max="5890" width="15.5703125" customWidth="1"/>
    <col min="5891" max="5891" width="16.28515625" customWidth="1"/>
    <col min="5902" max="5902" width="14.85546875" customWidth="1"/>
    <col min="6146" max="6146" width="15.5703125" customWidth="1"/>
    <col min="6147" max="6147" width="16.28515625" customWidth="1"/>
    <col min="6158" max="6158" width="14.85546875" customWidth="1"/>
    <col min="6402" max="6402" width="15.5703125" customWidth="1"/>
    <col min="6403" max="6403" width="16.28515625" customWidth="1"/>
    <col min="6414" max="6414" width="14.85546875" customWidth="1"/>
    <col min="6658" max="6658" width="15.5703125" customWidth="1"/>
    <col min="6659" max="6659" width="16.28515625" customWidth="1"/>
    <col min="6670" max="6670" width="14.85546875" customWidth="1"/>
    <col min="6914" max="6914" width="15.5703125" customWidth="1"/>
    <col min="6915" max="6915" width="16.28515625" customWidth="1"/>
    <col min="6926" max="6926" width="14.85546875" customWidth="1"/>
    <col min="7170" max="7170" width="15.5703125" customWidth="1"/>
    <col min="7171" max="7171" width="16.28515625" customWidth="1"/>
    <col min="7182" max="7182" width="14.85546875" customWidth="1"/>
    <col min="7426" max="7426" width="15.5703125" customWidth="1"/>
    <col min="7427" max="7427" width="16.28515625" customWidth="1"/>
    <col min="7438" max="7438" width="14.85546875" customWidth="1"/>
    <col min="7682" max="7682" width="15.5703125" customWidth="1"/>
    <col min="7683" max="7683" width="16.28515625" customWidth="1"/>
    <col min="7694" max="7694" width="14.85546875" customWidth="1"/>
    <col min="7938" max="7938" width="15.5703125" customWidth="1"/>
    <col min="7939" max="7939" width="16.28515625" customWidth="1"/>
    <col min="7950" max="7950" width="14.85546875" customWidth="1"/>
    <col min="8194" max="8194" width="15.5703125" customWidth="1"/>
    <col min="8195" max="8195" width="16.28515625" customWidth="1"/>
    <col min="8206" max="8206" width="14.85546875" customWidth="1"/>
    <col min="8450" max="8450" width="15.5703125" customWidth="1"/>
    <col min="8451" max="8451" width="16.28515625" customWidth="1"/>
    <col min="8462" max="8462" width="14.85546875" customWidth="1"/>
    <col min="8706" max="8706" width="15.5703125" customWidth="1"/>
    <col min="8707" max="8707" width="16.28515625" customWidth="1"/>
    <col min="8718" max="8718" width="14.85546875" customWidth="1"/>
    <col min="8962" max="8962" width="15.5703125" customWidth="1"/>
    <col min="8963" max="8963" width="16.28515625" customWidth="1"/>
    <col min="8974" max="8974" width="14.85546875" customWidth="1"/>
    <col min="9218" max="9218" width="15.5703125" customWidth="1"/>
    <col min="9219" max="9219" width="16.28515625" customWidth="1"/>
    <col min="9230" max="9230" width="14.85546875" customWidth="1"/>
    <col min="9474" max="9474" width="15.5703125" customWidth="1"/>
    <col min="9475" max="9475" width="16.28515625" customWidth="1"/>
    <col min="9486" max="9486" width="14.85546875" customWidth="1"/>
    <col min="9730" max="9730" width="15.5703125" customWidth="1"/>
    <col min="9731" max="9731" width="16.28515625" customWidth="1"/>
    <col min="9742" max="9742" width="14.85546875" customWidth="1"/>
    <col min="9986" max="9986" width="15.5703125" customWidth="1"/>
    <col min="9987" max="9987" width="16.28515625" customWidth="1"/>
    <col min="9998" max="9998" width="14.85546875" customWidth="1"/>
    <col min="10242" max="10242" width="15.5703125" customWidth="1"/>
    <col min="10243" max="10243" width="16.28515625" customWidth="1"/>
    <col min="10254" max="10254" width="14.85546875" customWidth="1"/>
    <col min="10498" max="10498" width="15.5703125" customWidth="1"/>
    <col min="10499" max="10499" width="16.28515625" customWidth="1"/>
    <col min="10510" max="10510" width="14.85546875" customWidth="1"/>
    <col min="10754" max="10754" width="15.5703125" customWidth="1"/>
    <col min="10755" max="10755" width="16.28515625" customWidth="1"/>
    <col min="10766" max="10766" width="14.85546875" customWidth="1"/>
    <col min="11010" max="11010" width="15.5703125" customWidth="1"/>
    <col min="11011" max="11011" width="16.28515625" customWidth="1"/>
    <col min="11022" max="11022" width="14.85546875" customWidth="1"/>
    <col min="11266" max="11266" width="15.5703125" customWidth="1"/>
    <col min="11267" max="11267" width="16.28515625" customWidth="1"/>
    <col min="11278" max="11278" width="14.85546875" customWidth="1"/>
    <col min="11522" max="11522" width="15.5703125" customWidth="1"/>
    <col min="11523" max="11523" width="16.28515625" customWidth="1"/>
    <col min="11534" max="11534" width="14.85546875" customWidth="1"/>
    <col min="11778" max="11778" width="15.5703125" customWidth="1"/>
    <col min="11779" max="11779" width="16.28515625" customWidth="1"/>
    <col min="11790" max="11790" width="14.85546875" customWidth="1"/>
    <col min="12034" max="12034" width="15.5703125" customWidth="1"/>
    <col min="12035" max="12035" width="16.28515625" customWidth="1"/>
    <col min="12046" max="12046" width="14.85546875" customWidth="1"/>
    <col min="12290" max="12290" width="15.5703125" customWidth="1"/>
    <col min="12291" max="12291" width="16.28515625" customWidth="1"/>
    <col min="12302" max="12302" width="14.85546875" customWidth="1"/>
    <col min="12546" max="12546" width="15.5703125" customWidth="1"/>
    <col min="12547" max="12547" width="16.28515625" customWidth="1"/>
    <col min="12558" max="12558" width="14.85546875" customWidth="1"/>
    <col min="12802" max="12802" width="15.5703125" customWidth="1"/>
    <col min="12803" max="12803" width="16.28515625" customWidth="1"/>
    <col min="12814" max="12814" width="14.85546875" customWidth="1"/>
    <col min="13058" max="13058" width="15.5703125" customWidth="1"/>
    <col min="13059" max="13059" width="16.28515625" customWidth="1"/>
    <col min="13070" max="13070" width="14.85546875" customWidth="1"/>
    <col min="13314" max="13314" width="15.5703125" customWidth="1"/>
    <col min="13315" max="13315" width="16.28515625" customWidth="1"/>
    <col min="13326" max="13326" width="14.85546875" customWidth="1"/>
    <col min="13570" max="13570" width="15.5703125" customWidth="1"/>
    <col min="13571" max="13571" width="16.28515625" customWidth="1"/>
    <col min="13582" max="13582" width="14.85546875" customWidth="1"/>
    <col min="13826" max="13826" width="15.5703125" customWidth="1"/>
    <col min="13827" max="13827" width="16.28515625" customWidth="1"/>
    <col min="13838" max="13838" width="14.85546875" customWidth="1"/>
    <col min="14082" max="14082" width="15.5703125" customWidth="1"/>
    <col min="14083" max="14083" width="16.28515625" customWidth="1"/>
    <col min="14094" max="14094" width="14.85546875" customWidth="1"/>
    <col min="14338" max="14338" width="15.5703125" customWidth="1"/>
    <col min="14339" max="14339" width="16.28515625" customWidth="1"/>
    <col min="14350" max="14350" width="14.85546875" customWidth="1"/>
    <col min="14594" max="14594" width="15.5703125" customWidth="1"/>
    <col min="14595" max="14595" width="16.28515625" customWidth="1"/>
    <col min="14606" max="14606" width="14.85546875" customWidth="1"/>
    <col min="14850" max="14850" width="15.5703125" customWidth="1"/>
    <col min="14851" max="14851" width="16.28515625" customWidth="1"/>
    <col min="14862" max="14862" width="14.85546875" customWidth="1"/>
    <col min="15106" max="15106" width="15.5703125" customWidth="1"/>
    <col min="15107" max="15107" width="16.28515625" customWidth="1"/>
    <col min="15118" max="15118" width="14.85546875" customWidth="1"/>
    <col min="15362" max="15362" width="15.5703125" customWidth="1"/>
    <col min="15363" max="15363" width="16.28515625" customWidth="1"/>
    <col min="15374" max="15374" width="14.85546875" customWidth="1"/>
    <col min="15618" max="15618" width="15.5703125" customWidth="1"/>
    <col min="15619" max="15619" width="16.28515625" customWidth="1"/>
    <col min="15630" max="15630" width="14.85546875" customWidth="1"/>
    <col min="15874" max="15874" width="15.5703125" customWidth="1"/>
    <col min="15875" max="15875" width="16.28515625" customWidth="1"/>
    <col min="15886" max="15886" width="14.85546875" customWidth="1"/>
    <col min="16130" max="16130" width="15.5703125" customWidth="1"/>
    <col min="16131" max="16131" width="16.28515625" customWidth="1"/>
    <col min="16142" max="16142" width="14.85546875" customWidth="1"/>
  </cols>
  <sheetData>
    <row r="1" spans="1:22">
      <c r="A1" s="131" t="s">
        <v>765</v>
      </c>
      <c r="B1" s="131"/>
      <c r="C1" s="132"/>
      <c r="D1" s="133"/>
      <c r="E1" s="28"/>
      <c r="F1" s="28"/>
      <c r="G1" s="28"/>
      <c r="H1" s="28"/>
      <c r="I1" s="133"/>
      <c r="J1" s="134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>
      <c r="A2" s="28"/>
      <c r="B2" s="28"/>
      <c r="C2" s="28"/>
      <c r="D2" s="28"/>
      <c r="E2" s="28"/>
      <c r="F2" s="28"/>
      <c r="G2" s="28"/>
      <c r="H2" s="28"/>
      <c r="I2" s="133"/>
      <c r="J2" s="134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>
      <c r="A3" s="28"/>
      <c r="B3" s="28"/>
      <c r="C3" s="28"/>
      <c r="D3" s="28"/>
      <c r="E3" s="28"/>
      <c r="F3" s="28"/>
      <c r="G3" s="28"/>
      <c r="H3" s="28"/>
      <c r="I3" s="133"/>
      <c r="J3" s="134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2">
      <c r="A4" s="28" t="s">
        <v>766</v>
      </c>
      <c r="B4" s="135" t="s">
        <v>767</v>
      </c>
      <c r="C4" s="136"/>
      <c r="D4" s="137" t="s">
        <v>768</v>
      </c>
      <c r="I4" s="138"/>
      <c r="J4" s="136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</row>
    <row r="5" spans="1:22">
      <c r="A5" s="139" t="s">
        <v>769</v>
      </c>
      <c r="B5" s="139"/>
      <c r="C5" s="140" t="s">
        <v>770</v>
      </c>
      <c r="D5" s="141" t="s">
        <v>771</v>
      </c>
      <c r="E5" s="139" t="s">
        <v>613</v>
      </c>
      <c r="F5" s="139" t="s">
        <v>772</v>
      </c>
      <c r="G5" s="139" t="s">
        <v>773</v>
      </c>
      <c r="H5" s="139" t="s">
        <v>774</v>
      </c>
      <c r="I5" s="142" t="s">
        <v>771</v>
      </c>
      <c r="J5" s="136" t="s">
        <v>775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1:22">
      <c r="A6" s="11" t="s">
        <v>47</v>
      </c>
      <c r="B6" s="11" t="s">
        <v>776</v>
      </c>
      <c r="C6" s="143" t="s">
        <v>777</v>
      </c>
      <c r="D6" s="92">
        <v>48.02</v>
      </c>
      <c r="E6" s="11">
        <v>0.6</v>
      </c>
      <c r="F6" s="11">
        <v>1.1000000000000001</v>
      </c>
      <c r="G6" s="11">
        <v>1.03</v>
      </c>
      <c r="H6" s="11">
        <v>1.01</v>
      </c>
      <c r="I6" s="144">
        <f t="shared" ref="I6:I15" si="0">(((D6*E6)*F6)+H6)*G6</f>
        <v>33.684296000000003</v>
      </c>
      <c r="J6" s="136">
        <v>25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1:22">
      <c r="A7" s="11" t="s">
        <v>49</v>
      </c>
      <c r="B7" s="11" t="s">
        <v>778</v>
      </c>
      <c r="C7" s="143" t="s">
        <v>777</v>
      </c>
      <c r="D7" s="92">
        <v>55.79</v>
      </c>
      <c r="E7" s="11">
        <v>0.6</v>
      </c>
      <c r="F7" s="11">
        <v>1.1000000000000001</v>
      </c>
      <c r="G7" s="11">
        <v>1.03</v>
      </c>
      <c r="H7" s="11">
        <v>1.01</v>
      </c>
      <c r="I7" s="144">
        <f t="shared" si="0"/>
        <v>38.966341999999997</v>
      </c>
      <c r="J7" s="136">
        <v>25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>
      <c r="A8" s="11" t="s">
        <v>51</v>
      </c>
      <c r="B8" s="11" t="s">
        <v>779</v>
      </c>
      <c r="C8" s="143" t="s">
        <v>777</v>
      </c>
      <c r="D8" s="92">
        <v>62.67</v>
      </c>
      <c r="E8" s="11">
        <v>0.6</v>
      </c>
      <c r="F8" s="11">
        <v>1.1000000000000001</v>
      </c>
      <c r="G8" s="11">
        <v>1.03</v>
      </c>
      <c r="H8" s="11">
        <v>1.4</v>
      </c>
      <c r="I8" s="144">
        <f t="shared" si="0"/>
        <v>44.045065999999998</v>
      </c>
      <c r="J8" s="136">
        <v>25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1:22">
      <c r="A9" s="11" t="s">
        <v>53</v>
      </c>
      <c r="B9" s="11" t="s">
        <v>780</v>
      </c>
      <c r="C9" s="143" t="s">
        <v>777</v>
      </c>
      <c r="D9" s="92">
        <v>76.19</v>
      </c>
      <c r="E9" s="11">
        <v>0.6</v>
      </c>
      <c r="F9" s="11">
        <v>1.1000000000000001</v>
      </c>
      <c r="G9" s="11">
        <v>1.03</v>
      </c>
      <c r="H9" s="11">
        <v>1.4</v>
      </c>
      <c r="I9" s="144">
        <f t="shared" si="0"/>
        <v>53.235962000000001</v>
      </c>
      <c r="J9" s="136">
        <v>25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1:22">
      <c r="A10" s="11" t="s">
        <v>55</v>
      </c>
      <c r="B10" s="11" t="s">
        <v>781</v>
      </c>
      <c r="C10" s="143" t="s">
        <v>777</v>
      </c>
      <c r="D10" s="92">
        <v>95.99</v>
      </c>
      <c r="E10" s="11">
        <v>0.6</v>
      </c>
      <c r="F10" s="11">
        <v>1.1000000000000001</v>
      </c>
      <c r="G10" s="11">
        <v>1.03</v>
      </c>
      <c r="H10" s="11">
        <v>1.69</v>
      </c>
      <c r="I10" s="144">
        <f t="shared" si="0"/>
        <v>66.994702000000004</v>
      </c>
      <c r="J10" s="136">
        <v>25</v>
      </c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1:22">
      <c r="A11" s="11" t="s">
        <v>57</v>
      </c>
      <c r="B11" s="11" t="s">
        <v>782</v>
      </c>
      <c r="C11" s="143" t="s">
        <v>777</v>
      </c>
      <c r="D11" s="92">
        <v>125.47</v>
      </c>
      <c r="E11" s="11">
        <v>0.6</v>
      </c>
      <c r="F11" s="11">
        <v>1.1499999999999999</v>
      </c>
      <c r="G11" s="11">
        <v>1.03</v>
      </c>
      <c r="H11" s="11">
        <v>2.0499999999999998</v>
      </c>
      <c r="I11" s="144">
        <f t="shared" si="0"/>
        <v>91.283028999999999</v>
      </c>
      <c r="J11" s="136">
        <v>25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>
      <c r="A12" s="11" t="s">
        <v>59</v>
      </c>
      <c r="B12" s="11" t="s">
        <v>783</v>
      </c>
      <c r="C12" s="143" t="s">
        <v>777</v>
      </c>
      <c r="D12" s="92">
        <v>129.33000000000001</v>
      </c>
      <c r="E12" s="11">
        <v>0.6</v>
      </c>
      <c r="F12" s="11">
        <v>1.1499999999999999</v>
      </c>
      <c r="G12" s="11">
        <v>1.03</v>
      </c>
      <c r="H12" s="11">
        <v>2.59</v>
      </c>
      <c r="I12" s="144">
        <f t="shared" si="0"/>
        <v>94.582530999999989</v>
      </c>
      <c r="J12" s="136">
        <v>25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1:22">
      <c r="A13" s="11" t="s">
        <v>60</v>
      </c>
      <c r="B13" s="11" t="s">
        <v>784</v>
      </c>
      <c r="C13" s="143" t="s">
        <v>777</v>
      </c>
      <c r="D13" s="92">
        <v>145.96</v>
      </c>
      <c r="E13" s="11">
        <v>0.6</v>
      </c>
      <c r="F13" s="11">
        <v>1.1499999999999999</v>
      </c>
      <c r="G13" s="11">
        <v>1.03</v>
      </c>
      <c r="H13" s="11">
        <v>3.14</v>
      </c>
      <c r="I13" s="144">
        <f t="shared" si="0"/>
        <v>106.967972</v>
      </c>
      <c r="J13" s="136">
        <v>30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1:22">
      <c r="A14" s="11" t="s">
        <v>62</v>
      </c>
      <c r="B14" s="11" t="s">
        <v>785</v>
      </c>
      <c r="C14" s="143" t="s">
        <v>777</v>
      </c>
      <c r="D14" s="92">
        <v>203.15</v>
      </c>
      <c r="E14" s="11">
        <v>0.6</v>
      </c>
      <c r="F14" s="11">
        <v>1.1499999999999999</v>
      </c>
      <c r="G14" s="11">
        <v>1.03</v>
      </c>
      <c r="H14" s="11">
        <v>3.86</v>
      </c>
      <c r="I14" s="144">
        <f t="shared" si="0"/>
        <v>148.35450500000002</v>
      </c>
      <c r="J14" s="145">
        <v>30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>
      <c r="A15" s="11" t="s">
        <v>63</v>
      </c>
      <c r="B15" s="11" t="s">
        <v>786</v>
      </c>
      <c r="C15" s="143" t="s">
        <v>777</v>
      </c>
      <c r="D15" s="92">
        <v>293.32</v>
      </c>
      <c r="E15" s="11">
        <v>0.6</v>
      </c>
      <c r="F15" s="11">
        <v>1.1499999999999999</v>
      </c>
      <c r="G15" s="11">
        <v>1.03</v>
      </c>
      <c r="H15" s="11">
        <v>3.86</v>
      </c>
      <c r="I15" s="144">
        <f t="shared" si="0"/>
        <v>212.43832399999999</v>
      </c>
      <c r="J15" s="145">
        <v>35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1:22">
      <c r="C16" s="136"/>
      <c r="D16" s="138"/>
      <c r="I16" s="133"/>
      <c r="J16" s="145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1:21">
      <c r="C17" s="136"/>
      <c r="D17" s="138"/>
      <c r="I17" s="138"/>
      <c r="J17" s="136"/>
      <c r="L17" s="28"/>
      <c r="M17" s="28"/>
      <c r="N17" s="28"/>
      <c r="O17" s="28"/>
      <c r="P17" s="28"/>
      <c r="Q17" s="28"/>
      <c r="R17" s="28"/>
      <c r="S17" s="28"/>
      <c r="T17" s="28"/>
    </row>
    <row r="18" spans="1:21">
      <c r="A18" s="28" t="s">
        <v>766</v>
      </c>
      <c r="B18" s="135" t="s">
        <v>767</v>
      </c>
      <c r="C18" s="136"/>
      <c r="D18" s="137" t="s">
        <v>768</v>
      </c>
      <c r="I18" s="138"/>
      <c r="J18" s="136"/>
      <c r="L18" s="28"/>
      <c r="M18" s="28"/>
      <c r="N18" s="28"/>
      <c r="O18" s="28"/>
      <c r="P18" s="28"/>
      <c r="Q18" s="28"/>
      <c r="R18" s="28"/>
      <c r="S18" s="28"/>
      <c r="T18" s="28"/>
      <c r="U18" s="136"/>
    </row>
    <row r="19" spans="1:21">
      <c r="A19" s="139" t="s">
        <v>769</v>
      </c>
      <c r="B19" s="139"/>
      <c r="C19" s="140" t="s">
        <v>770</v>
      </c>
      <c r="D19" s="141" t="s">
        <v>771</v>
      </c>
      <c r="E19" s="139" t="s">
        <v>613</v>
      </c>
      <c r="F19" s="139" t="s">
        <v>772</v>
      </c>
      <c r="G19" s="139" t="s">
        <v>773</v>
      </c>
      <c r="H19" s="139" t="s">
        <v>774</v>
      </c>
      <c r="I19" s="142" t="s">
        <v>771</v>
      </c>
      <c r="J19" s="136" t="s">
        <v>775</v>
      </c>
      <c r="L19" s="28"/>
      <c r="M19" s="28"/>
      <c r="N19" s="28"/>
      <c r="O19" s="28"/>
      <c r="P19" s="28"/>
      <c r="Q19" s="28"/>
      <c r="R19" s="28"/>
      <c r="S19" s="28"/>
      <c r="T19" s="28"/>
      <c r="U19" s="136"/>
    </row>
    <row r="20" spans="1:21">
      <c r="A20" s="11" t="s">
        <v>47</v>
      </c>
      <c r="B20" s="11" t="s">
        <v>776</v>
      </c>
      <c r="C20" s="143" t="s">
        <v>787</v>
      </c>
      <c r="D20" s="92">
        <v>29.79</v>
      </c>
      <c r="E20" s="11">
        <v>0.6</v>
      </c>
      <c r="F20" s="11">
        <v>1.1000000000000001</v>
      </c>
      <c r="G20" s="11">
        <v>1.03</v>
      </c>
      <c r="H20" s="11">
        <v>1.01</v>
      </c>
      <c r="I20" s="144">
        <f t="shared" ref="I20:I30" si="1">(((D20*E20)*F20)+H20)*G20</f>
        <v>21.291542000000003</v>
      </c>
      <c r="J20" s="136">
        <v>23</v>
      </c>
      <c r="L20" s="28"/>
      <c r="M20" s="28"/>
      <c r="N20" s="28"/>
      <c r="O20" s="28"/>
      <c r="P20" s="28"/>
      <c r="Q20" s="28"/>
      <c r="R20" s="28"/>
      <c r="S20" s="28"/>
      <c r="T20" s="28"/>
      <c r="U20" s="136"/>
    </row>
    <row r="21" spans="1:21">
      <c r="A21" s="11" t="s">
        <v>49</v>
      </c>
      <c r="B21" s="11" t="s">
        <v>778</v>
      </c>
      <c r="C21" s="143" t="s">
        <v>787</v>
      </c>
      <c r="D21" s="92">
        <v>35.67</v>
      </c>
      <c r="E21" s="11">
        <v>0.6</v>
      </c>
      <c r="F21" s="11">
        <v>1.1000000000000001</v>
      </c>
      <c r="G21" s="11">
        <v>1.03</v>
      </c>
      <c r="H21" s="11">
        <v>1.01</v>
      </c>
      <c r="I21" s="144">
        <f t="shared" si="1"/>
        <v>25.288766000000006</v>
      </c>
      <c r="J21" s="136">
        <v>23</v>
      </c>
      <c r="L21" s="28"/>
      <c r="M21" s="28"/>
      <c r="N21" s="28"/>
      <c r="O21" s="28"/>
      <c r="P21" s="28"/>
      <c r="Q21" s="28"/>
      <c r="R21" s="28"/>
      <c r="S21" s="28"/>
      <c r="T21" s="28"/>
      <c r="U21" s="136"/>
    </row>
    <row r="22" spans="1:21">
      <c r="A22" s="11" t="s">
        <v>51</v>
      </c>
      <c r="B22" s="11" t="s">
        <v>779</v>
      </c>
      <c r="C22" s="143" t="s">
        <v>787</v>
      </c>
      <c r="D22" s="92">
        <v>42.24</v>
      </c>
      <c r="E22" s="11">
        <v>0.6</v>
      </c>
      <c r="F22" s="11">
        <v>1.1000000000000001</v>
      </c>
      <c r="G22" s="11">
        <v>1.03</v>
      </c>
      <c r="H22" s="11">
        <v>1.4</v>
      </c>
      <c r="I22" s="144">
        <f t="shared" si="1"/>
        <v>30.156752000000001</v>
      </c>
      <c r="J22" s="136">
        <v>25</v>
      </c>
      <c r="L22" s="28"/>
      <c r="M22" s="28"/>
      <c r="N22" s="28"/>
      <c r="O22" s="28"/>
      <c r="P22" s="28"/>
      <c r="Q22" s="28"/>
      <c r="R22" s="28"/>
      <c r="S22" s="28"/>
      <c r="T22" s="28"/>
      <c r="U22" s="136"/>
    </row>
    <row r="23" spans="1:21">
      <c r="A23" s="11" t="s">
        <v>53</v>
      </c>
      <c r="B23" s="11" t="s">
        <v>780</v>
      </c>
      <c r="C23" s="143" t="s">
        <v>787</v>
      </c>
      <c r="D23" s="92">
        <v>47.65</v>
      </c>
      <c r="E23" s="11">
        <v>0.6</v>
      </c>
      <c r="F23" s="11">
        <v>1.1000000000000001</v>
      </c>
      <c r="G23" s="11">
        <v>1.03</v>
      </c>
      <c r="H23" s="11">
        <v>1.4</v>
      </c>
      <c r="I23" s="144">
        <f t="shared" si="1"/>
        <v>33.834470000000003</v>
      </c>
      <c r="J23" s="136">
        <v>25</v>
      </c>
      <c r="L23" s="28"/>
      <c r="M23" s="28"/>
      <c r="N23" s="28"/>
      <c r="O23" s="28"/>
      <c r="P23" s="28"/>
      <c r="Q23" s="28"/>
      <c r="R23" s="28"/>
      <c r="S23" s="28"/>
      <c r="T23" s="28"/>
      <c r="U23" s="136"/>
    </row>
    <row r="24" spans="1:21">
      <c r="A24" s="11" t="s">
        <v>55</v>
      </c>
      <c r="B24" s="11" t="s">
        <v>781</v>
      </c>
      <c r="C24" s="143" t="s">
        <v>787</v>
      </c>
      <c r="D24" s="146">
        <v>61.8</v>
      </c>
      <c r="E24" s="11">
        <v>0.6</v>
      </c>
      <c r="F24" s="11">
        <v>1.1000000000000001</v>
      </c>
      <c r="G24" s="11">
        <v>1.03</v>
      </c>
      <c r="H24" s="11">
        <v>1.69</v>
      </c>
      <c r="I24" s="144">
        <f t="shared" si="1"/>
        <v>43.752340000000004</v>
      </c>
      <c r="J24" s="136">
        <v>25</v>
      </c>
      <c r="L24" s="28"/>
      <c r="M24" s="28"/>
      <c r="N24" s="28"/>
      <c r="O24" s="28"/>
      <c r="P24" s="28"/>
      <c r="Q24" s="28"/>
      <c r="R24" s="28"/>
      <c r="S24" s="28"/>
      <c r="T24" s="28"/>
      <c r="U24" s="136"/>
    </row>
    <row r="25" spans="1:21">
      <c r="A25" s="11" t="s">
        <v>57</v>
      </c>
      <c r="B25" s="11" t="s">
        <v>782</v>
      </c>
      <c r="C25" s="143" t="s">
        <v>787</v>
      </c>
      <c r="D25" s="11">
        <v>77.319999999999993</v>
      </c>
      <c r="E25" s="11">
        <v>0.6</v>
      </c>
      <c r="F25" s="11">
        <v>1.1499999999999999</v>
      </c>
      <c r="G25" s="11">
        <v>1.03</v>
      </c>
      <c r="H25" s="11">
        <v>2.0499999999999998</v>
      </c>
      <c r="I25" s="144">
        <f t="shared" si="1"/>
        <v>57.062823999999992</v>
      </c>
      <c r="J25" s="136">
        <v>25</v>
      </c>
      <c r="L25" s="28"/>
      <c r="M25" s="28"/>
      <c r="N25" s="28"/>
      <c r="O25" s="28"/>
      <c r="P25" s="28"/>
      <c r="Q25" s="28"/>
      <c r="R25" s="28"/>
      <c r="S25" s="28"/>
      <c r="T25" s="28"/>
      <c r="U25" s="136"/>
    </row>
    <row r="26" spans="1:21">
      <c r="A26" s="11" t="s">
        <v>59</v>
      </c>
      <c r="B26" s="11" t="s">
        <v>783</v>
      </c>
      <c r="C26" s="143" t="s">
        <v>787</v>
      </c>
      <c r="D26" s="11">
        <v>89.53</v>
      </c>
      <c r="E26" s="11">
        <v>0.6</v>
      </c>
      <c r="F26" s="11">
        <v>1.1499999999999999</v>
      </c>
      <c r="G26" s="11">
        <v>1.03</v>
      </c>
      <c r="H26" s="11">
        <v>2.59</v>
      </c>
      <c r="I26" s="144">
        <f t="shared" si="1"/>
        <v>66.296670999999989</v>
      </c>
      <c r="J26" s="136">
        <v>25</v>
      </c>
      <c r="L26" s="28"/>
      <c r="M26" s="28"/>
      <c r="N26" s="28"/>
      <c r="O26" s="28"/>
      <c r="P26" s="28"/>
      <c r="Q26" s="28"/>
      <c r="R26" s="28"/>
      <c r="S26" s="28"/>
      <c r="T26" s="28"/>
      <c r="U26" s="136"/>
    </row>
    <row r="27" spans="1:21">
      <c r="A27" s="11" t="s">
        <v>60</v>
      </c>
      <c r="B27" s="11" t="s">
        <v>784</v>
      </c>
      <c r="C27" s="143" t="s">
        <v>787</v>
      </c>
      <c r="D27" s="11">
        <v>98.86</v>
      </c>
      <c r="E27" s="11">
        <v>0.6</v>
      </c>
      <c r="F27" s="11">
        <v>1.1499999999999999</v>
      </c>
      <c r="G27" s="11">
        <v>1.03</v>
      </c>
      <c r="H27" s="11">
        <v>3.14</v>
      </c>
      <c r="I27" s="144">
        <f t="shared" si="1"/>
        <v>73.494001999999995</v>
      </c>
      <c r="J27" s="136">
        <v>30</v>
      </c>
      <c r="L27" s="28"/>
      <c r="M27" s="28"/>
      <c r="N27" s="28"/>
      <c r="O27" s="28"/>
      <c r="P27" s="28"/>
      <c r="Q27" s="28"/>
      <c r="R27" s="28"/>
      <c r="S27" s="28"/>
      <c r="T27" s="28"/>
      <c r="U27" s="136"/>
    </row>
    <row r="28" spans="1:21">
      <c r="A28" s="11" t="s">
        <v>62</v>
      </c>
      <c r="B28" s="11" t="s">
        <v>785</v>
      </c>
      <c r="C28" s="143" t="s">
        <v>787</v>
      </c>
      <c r="D28" s="11">
        <v>143.02000000000001</v>
      </c>
      <c r="E28" s="11">
        <v>0.6</v>
      </c>
      <c r="F28" s="11">
        <v>1.1499999999999999</v>
      </c>
      <c r="G28" s="11">
        <v>1.03</v>
      </c>
      <c r="H28" s="11">
        <v>3.86</v>
      </c>
      <c r="I28" s="144">
        <f t="shared" si="1"/>
        <v>105.62011399999999</v>
      </c>
      <c r="J28" s="145">
        <v>30</v>
      </c>
      <c r="L28" s="28"/>
      <c r="M28" s="28"/>
      <c r="N28" s="28"/>
      <c r="O28" s="28"/>
      <c r="P28" s="28"/>
      <c r="Q28" s="28"/>
      <c r="R28" s="28"/>
      <c r="S28" s="28"/>
      <c r="T28" s="28"/>
      <c r="U28" s="145"/>
    </row>
    <row r="29" spans="1:21">
      <c r="A29" s="11" t="s">
        <v>63</v>
      </c>
      <c r="B29" s="11" t="s">
        <v>786</v>
      </c>
      <c r="C29" s="143" t="s">
        <v>787</v>
      </c>
      <c r="D29" s="11">
        <v>184.32</v>
      </c>
      <c r="E29" s="11">
        <v>0.6</v>
      </c>
      <c r="F29" s="11">
        <v>1.1499999999999999</v>
      </c>
      <c r="G29" s="11">
        <v>1.03</v>
      </c>
      <c r="H29" s="11">
        <v>3.86</v>
      </c>
      <c r="I29" s="144">
        <f t="shared" si="1"/>
        <v>134.972024</v>
      </c>
      <c r="J29" s="145">
        <v>35</v>
      </c>
      <c r="L29" s="28"/>
      <c r="M29" s="28"/>
      <c r="N29" s="28"/>
      <c r="O29" s="28"/>
      <c r="P29" s="28"/>
      <c r="Q29" s="28"/>
      <c r="R29" s="28"/>
      <c r="S29" s="28"/>
      <c r="T29" s="28"/>
      <c r="U29" s="145"/>
    </row>
    <row r="30" spans="1:21">
      <c r="A30" s="11" t="s">
        <v>66</v>
      </c>
      <c r="B30" s="11" t="s">
        <v>788</v>
      </c>
      <c r="C30" s="143" t="s">
        <v>787</v>
      </c>
      <c r="D30" s="11">
        <v>210.49</v>
      </c>
      <c r="E30" s="11">
        <v>0.6</v>
      </c>
      <c r="F30" s="11">
        <v>1.1499999999999999</v>
      </c>
      <c r="G30" s="11">
        <v>1.03</v>
      </c>
      <c r="H30" s="11">
        <v>3.86</v>
      </c>
      <c r="I30" s="144">
        <f t="shared" si="1"/>
        <v>153.571043</v>
      </c>
      <c r="J30" s="145">
        <v>35</v>
      </c>
      <c r="L30" s="28"/>
      <c r="M30" s="28"/>
      <c r="N30" s="28"/>
      <c r="O30" s="28"/>
      <c r="P30" s="28"/>
      <c r="Q30" s="28"/>
      <c r="R30" s="28"/>
      <c r="S30" s="28"/>
      <c r="T30" s="28"/>
      <c r="U30" s="145"/>
    </row>
    <row r="31" spans="1:21">
      <c r="C31" s="136"/>
      <c r="D31" s="138"/>
      <c r="I31" s="133"/>
      <c r="J31" s="145"/>
      <c r="L31" s="28"/>
      <c r="M31" s="28"/>
      <c r="N31" s="28"/>
      <c r="O31" s="28"/>
      <c r="P31" s="28"/>
      <c r="Q31" s="28"/>
      <c r="R31" s="28"/>
      <c r="S31" s="28"/>
      <c r="T31" s="28"/>
      <c r="U31" s="145"/>
    </row>
    <row r="32" spans="1:21">
      <c r="C32" s="136"/>
      <c r="D32" s="138"/>
      <c r="I32" s="133"/>
      <c r="J32" s="145"/>
      <c r="L32" s="28"/>
      <c r="M32" s="28"/>
      <c r="N32" s="28"/>
      <c r="O32" s="28"/>
      <c r="P32" s="28"/>
      <c r="Q32" s="28"/>
      <c r="R32" s="28"/>
      <c r="S32" s="28"/>
      <c r="T32" s="28"/>
      <c r="U32" s="145"/>
    </row>
    <row r="33" spans="1:21">
      <c r="A33" s="28" t="s">
        <v>766</v>
      </c>
      <c r="B33" s="135" t="s">
        <v>767</v>
      </c>
      <c r="C33" s="136"/>
      <c r="D33" s="137" t="s">
        <v>768</v>
      </c>
      <c r="I33" s="138"/>
      <c r="J33" s="136"/>
      <c r="L33" s="28"/>
      <c r="M33" s="28"/>
      <c r="N33" s="28"/>
      <c r="O33" s="28"/>
      <c r="P33" s="28"/>
      <c r="Q33" s="28"/>
      <c r="R33" s="28"/>
      <c r="S33" s="28"/>
      <c r="T33" s="28"/>
      <c r="U33" s="145"/>
    </row>
    <row r="34" spans="1:21">
      <c r="A34" s="139" t="s">
        <v>769</v>
      </c>
      <c r="B34" s="139"/>
      <c r="C34" s="140" t="s">
        <v>770</v>
      </c>
      <c r="D34" s="141" t="s">
        <v>771</v>
      </c>
      <c r="E34" s="139" t="s">
        <v>613</v>
      </c>
      <c r="F34" s="139" t="s">
        <v>772</v>
      </c>
      <c r="G34" s="139" t="s">
        <v>773</v>
      </c>
      <c r="H34" s="139" t="s">
        <v>774</v>
      </c>
      <c r="I34" s="142" t="s">
        <v>771</v>
      </c>
      <c r="J34" s="136" t="s">
        <v>775</v>
      </c>
      <c r="L34" s="28"/>
      <c r="M34" s="28"/>
      <c r="N34" s="28"/>
      <c r="O34" s="28"/>
      <c r="P34" s="28"/>
      <c r="Q34" s="28"/>
      <c r="R34" s="28"/>
      <c r="S34" s="28"/>
      <c r="T34" s="28"/>
      <c r="U34" s="145"/>
    </row>
    <row r="35" spans="1:21">
      <c r="A35" s="11" t="s">
        <v>47</v>
      </c>
      <c r="B35" s="11" t="s">
        <v>776</v>
      </c>
      <c r="C35" s="143" t="s">
        <v>789</v>
      </c>
      <c r="D35" s="92">
        <v>15.23</v>
      </c>
      <c r="E35" s="11">
        <v>0.6</v>
      </c>
      <c r="F35" s="11">
        <v>1.1000000000000001</v>
      </c>
      <c r="G35" s="11">
        <v>1.03</v>
      </c>
      <c r="H35" s="11">
        <v>1.01</v>
      </c>
      <c r="I35" s="144">
        <f t="shared" ref="I35:I45" si="2">(((D35*E35)*F35)+H35)*G35</f>
        <v>11.393654</v>
      </c>
      <c r="J35" s="136">
        <v>23</v>
      </c>
      <c r="L35" s="28"/>
      <c r="M35" s="28"/>
      <c r="N35" s="28"/>
      <c r="O35" s="28"/>
      <c r="P35" s="28"/>
      <c r="Q35" s="28"/>
      <c r="R35" s="28"/>
      <c r="S35" s="28"/>
      <c r="T35" s="28"/>
      <c r="U35" s="145"/>
    </row>
    <row r="36" spans="1:21">
      <c r="A36" s="11" t="s">
        <v>49</v>
      </c>
      <c r="B36" s="11" t="s">
        <v>778</v>
      </c>
      <c r="C36" s="143" t="s">
        <v>789</v>
      </c>
      <c r="D36" s="92">
        <v>17.29</v>
      </c>
      <c r="E36" s="11">
        <v>0.6</v>
      </c>
      <c r="F36" s="11">
        <v>1.1000000000000001</v>
      </c>
      <c r="G36" s="11">
        <v>1.03</v>
      </c>
      <c r="H36" s="11">
        <v>1.01</v>
      </c>
      <c r="I36" s="144">
        <f t="shared" si="2"/>
        <v>12.794042000000001</v>
      </c>
      <c r="J36" s="136">
        <v>23</v>
      </c>
      <c r="L36" s="28"/>
      <c r="M36" s="28"/>
      <c r="N36" s="28"/>
      <c r="O36" s="28"/>
      <c r="P36" s="28"/>
      <c r="Q36" s="28"/>
      <c r="R36" s="28"/>
      <c r="S36" s="28"/>
      <c r="T36" s="28"/>
      <c r="U36" s="145"/>
    </row>
    <row r="37" spans="1:21">
      <c r="A37" s="11" t="s">
        <v>51</v>
      </c>
      <c r="B37" s="11" t="s">
        <v>779</v>
      </c>
      <c r="C37" s="143" t="s">
        <v>789</v>
      </c>
      <c r="D37" s="92">
        <v>21.12</v>
      </c>
      <c r="E37" s="11">
        <v>0.6</v>
      </c>
      <c r="F37" s="11">
        <v>1.1000000000000001</v>
      </c>
      <c r="G37" s="11">
        <v>1.03</v>
      </c>
      <c r="H37" s="11">
        <v>1.4</v>
      </c>
      <c r="I37" s="144">
        <f t="shared" si="2"/>
        <v>15.799376000000002</v>
      </c>
      <c r="J37" s="136">
        <v>25</v>
      </c>
      <c r="L37" s="28"/>
      <c r="M37" s="28"/>
      <c r="N37" s="28"/>
      <c r="O37" s="28"/>
      <c r="P37" s="28"/>
      <c r="Q37" s="28"/>
      <c r="R37" s="28"/>
      <c r="S37" s="28"/>
      <c r="T37" s="28"/>
      <c r="U37" s="145"/>
    </row>
    <row r="38" spans="1:21">
      <c r="A38" s="11" t="s">
        <v>53</v>
      </c>
      <c r="B38" s="11" t="s">
        <v>780</v>
      </c>
      <c r="C38" s="143" t="s">
        <v>789</v>
      </c>
      <c r="D38" s="92">
        <v>24.12</v>
      </c>
      <c r="E38" s="11">
        <v>0.6</v>
      </c>
      <c r="F38" s="11">
        <v>1.1000000000000001</v>
      </c>
      <c r="G38" s="11">
        <v>1.03</v>
      </c>
      <c r="H38" s="11">
        <v>1.4</v>
      </c>
      <c r="I38" s="144">
        <f t="shared" si="2"/>
        <v>17.838775999999999</v>
      </c>
      <c r="J38" s="136">
        <v>25</v>
      </c>
      <c r="L38" s="28"/>
      <c r="M38" s="28"/>
      <c r="N38" s="28"/>
      <c r="O38" s="28"/>
      <c r="P38" s="28"/>
      <c r="Q38" s="28"/>
      <c r="R38" s="28"/>
      <c r="S38" s="28"/>
      <c r="T38" s="28"/>
      <c r="U38" s="145"/>
    </row>
    <row r="39" spans="1:21">
      <c r="A39" s="11" t="s">
        <v>55</v>
      </c>
      <c r="B39" s="11" t="s">
        <v>781</v>
      </c>
      <c r="C39" s="143" t="s">
        <v>789</v>
      </c>
      <c r="D39" s="92">
        <v>32.82</v>
      </c>
      <c r="E39" s="11">
        <v>0.6</v>
      </c>
      <c r="F39" s="11">
        <v>1.1000000000000001</v>
      </c>
      <c r="G39" s="11">
        <v>1.03</v>
      </c>
      <c r="H39" s="11">
        <v>1.69</v>
      </c>
      <c r="I39" s="144">
        <f t="shared" si="2"/>
        <v>24.051736000000002</v>
      </c>
      <c r="J39" s="136">
        <v>25</v>
      </c>
      <c r="L39" s="28"/>
      <c r="M39" s="28"/>
      <c r="N39" s="28"/>
      <c r="O39" s="28"/>
      <c r="P39" s="28"/>
      <c r="Q39" s="28"/>
      <c r="R39" s="28"/>
      <c r="S39" s="28"/>
      <c r="T39" s="28"/>
      <c r="U39" s="145"/>
    </row>
    <row r="40" spans="1:21">
      <c r="A40" s="11" t="s">
        <v>57</v>
      </c>
      <c r="B40" s="11" t="s">
        <v>782</v>
      </c>
      <c r="C40" s="143" t="s">
        <v>789</v>
      </c>
      <c r="D40" s="92">
        <v>39.92</v>
      </c>
      <c r="E40" s="11">
        <v>0.6</v>
      </c>
      <c r="F40" s="11">
        <v>1.1499999999999999</v>
      </c>
      <c r="G40" s="11">
        <v>1.03</v>
      </c>
      <c r="H40" s="11">
        <v>2.0499999999999998</v>
      </c>
      <c r="I40" s="144">
        <f t="shared" si="2"/>
        <v>30.482644000000001</v>
      </c>
      <c r="J40" s="136">
        <v>25</v>
      </c>
      <c r="L40" s="28"/>
      <c r="M40" s="28"/>
      <c r="N40" s="28"/>
      <c r="O40" s="28"/>
      <c r="P40" s="28"/>
      <c r="Q40" s="28"/>
      <c r="R40" s="28"/>
      <c r="S40" s="28"/>
      <c r="T40" s="28"/>
      <c r="U40" s="145"/>
    </row>
    <row r="41" spans="1:21">
      <c r="A41" s="11" t="s">
        <v>59</v>
      </c>
      <c r="B41" s="11" t="s">
        <v>783</v>
      </c>
      <c r="C41" s="143" t="s">
        <v>789</v>
      </c>
      <c r="D41" s="92">
        <v>48.3</v>
      </c>
      <c r="E41" s="11">
        <v>0.6</v>
      </c>
      <c r="F41" s="11">
        <v>1.1499999999999999</v>
      </c>
      <c r="G41" s="11">
        <v>1.03</v>
      </c>
      <c r="H41" s="11">
        <v>2.59</v>
      </c>
      <c r="I41" s="144">
        <f t="shared" si="2"/>
        <v>36.994509999999991</v>
      </c>
      <c r="J41" s="136">
        <v>25</v>
      </c>
      <c r="L41" s="28"/>
      <c r="M41" s="28"/>
      <c r="N41" s="28"/>
      <c r="O41" s="28"/>
      <c r="P41" s="28"/>
      <c r="Q41" s="28"/>
      <c r="R41" s="28"/>
      <c r="S41" s="28"/>
      <c r="T41" s="28"/>
      <c r="U41" s="145"/>
    </row>
    <row r="42" spans="1:21">
      <c r="A42" s="11" t="s">
        <v>60</v>
      </c>
      <c r="B42" s="11" t="s">
        <v>784</v>
      </c>
      <c r="C42" s="143" t="s">
        <v>789</v>
      </c>
      <c r="D42" s="92">
        <v>62.54</v>
      </c>
      <c r="E42" s="11">
        <v>0.6</v>
      </c>
      <c r="F42" s="11">
        <v>1.1499999999999999</v>
      </c>
      <c r="G42" s="11">
        <v>1.03</v>
      </c>
      <c r="H42" s="11">
        <v>3.14</v>
      </c>
      <c r="I42" s="144">
        <f t="shared" si="2"/>
        <v>47.681378000000002</v>
      </c>
      <c r="J42" s="136">
        <v>30</v>
      </c>
      <c r="L42" s="28"/>
      <c r="M42" s="28"/>
      <c r="N42" s="28"/>
      <c r="O42" s="28"/>
      <c r="P42" s="28"/>
      <c r="Q42" s="28"/>
      <c r="R42" s="28"/>
      <c r="S42" s="28"/>
      <c r="T42" s="28"/>
      <c r="U42" s="145"/>
    </row>
    <row r="43" spans="1:21">
      <c r="A43" s="11" t="s">
        <v>62</v>
      </c>
      <c r="B43" s="11" t="s">
        <v>785</v>
      </c>
      <c r="C43" s="143" t="s">
        <v>789</v>
      </c>
      <c r="D43" s="92">
        <v>91.85</v>
      </c>
      <c r="E43" s="11">
        <v>0.6</v>
      </c>
      <c r="F43" s="11">
        <v>1.1499999999999999</v>
      </c>
      <c r="G43" s="11">
        <v>1.03</v>
      </c>
      <c r="H43" s="11">
        <v>3.86</v>
      </c>
      <c r="I43" s="144">
        <f t="shared" si="2"/>
        <v>69.25359499999999</v>
      </c>
      <c r="J43" s="145">
        <v>30</v>
      </c>
      <c r="L43" s="28"/>
      <c r="M43" s="28"/>
      <c r="N43" s="28"/>
      <c r="O43" s="28"/>
      <c r="P43" s="28"/>
      <c r="Q43" s="28"/>
      <c r="R43" s="28"/>
      <c r="S43" s="28"/>
      <c r="T43" s="28"/>
      <c r="U43" s="145"/>
    </row>
    <row r="44" spans="1:21">
      <c r="A44" s="11" t="s">
        <v>63</v>
      </c>
      <c r="B44" s="11" t="s">
        <v>786</v>
      </c>
      <c r="C44" s="143" t="s">
        <v>789</v>
      </c>
      <c r="D44" s="92">
        <v>118.12</v>
      </c>
      <c r="E44" s="11">
        <v>0.6</v>
      </c>
      <c r="F44" s="11">
        <v>1.1499999999999999</v>
      </c>
      <c r="G44" s="11">
        <v>1.03</v>
      </c>
      <c r="H44" s="11">
        <v>3.86</v>
      </c>
      <c r="I44" s="144">
        <f t="shared" si="2"/>
        <v>87.923683999999994</v>
      </c>
      <c r="J44" s="145">
        <v>35</v>
      </c>
      <c r="L44" s="28"/>
      <c r="M44" s="28"/>
      <c r="N44" s="28"/>
      <c r="O44" s="28"/>
      <c r="P44" s="28"/>
      <c r="Q44" s="28"/>
      <c r="R44" s="28"/>
      <c r="S44" s="28"/>
      <c r="T44" s="28"/>
      <c r="U44" s="145"/>
    </row>
    <row r="45" spans="1:21">
      <c r="A45" s="11" t="s">
        <v>66</v>
      </c>
      <c r="B45" s="11" t="s">
        <v>788</v>
      </c>
      <c r="C45" s="143" t="s">
        <v>789</v>
      </c>
      <c r="D45" s="92">
        <v>140.66</v>
      </c>
      <c r="E45" s="11">
        <v>0.6</v>
      </c>
      <c r="F45" s="11">
        <v>1.1499999999999999</v>
      </c>
      <c r="G45" s="11">
        <v>1.03</v>
      </c>
      <c r="H45" s="11">
        <v>3.86</v>
      </c>
      <c r="I45" s="144">
        <f t="shared" si="2"/>
        <v>103.94286199999999</v>
      </c>
      <c r="J45" s="145">
        <v>35</v>
      </c>
      <c r="L45" s="28"/>
      <c r="M45" s="28"/>
      <c r="N45" s="28"/>
      <c r="O45" s="28"/>
      <c r="P45" s="28"/>
      <c r="Q45" s="28"/>
      <c r="R45" s="28"/>
      <c r="S45" s="28"/>
      <c r="T45" s="28"/>
      <c r="U45" s="145"/>
    </row>
    <row r="46" spans="1:21">
      <c r="C46" s="136"/>
      <c r="D46" s="138"/>
      <c r="I46" s="133"/>
      <c r="J46" s="145"/>
      <c r="L46" s="28"/>
      <c r="M46" s="28"/>
      <c r="N46" s="28"/>
      <c r="O46" s="28"/>
      <c r="P46" s="28"/>
      <c r="Q46" s="28"/>
      <c r="R46" s="28"/>
      <c r="S46" s="28"/>
      <c r="T46" s="28"/>
      <c r="U46" s="145"/>
    </row>
    <row r="47" spans="1:21">
      <c r="C47" s="136"/>
      <c r="D47" s="138"/>
      <c r="I47" s="133"/>
      <c r="J47" s="145"/>
      <c r="L47" s="28"/>
      <c r="M47" s="28"/>
      <c r="N47" s="28"/>
      <c r="O47" s="28"/>
      <c r="P47" s="28"/>
      <c r="Q47" s="28"/>
      <c r="R47" s="28"/>
      <c r="S47" s="28"/>
      <c r="T47" s="28"/>
      <c r="U47" s="145"/>
    </row>
    <row r="48" spans="1:21">
      <c r="A48" s="28" t="s">
        <v>766</v>
      </c>
      <c r="B48" s="135" t="s">
        <v>767</v>
      </c>
      <c r="C48" s="136"/>
      <c r="D48" s="137" t="s">
        <v>768</v>
      </c>
      <c r="I48" s="138"/>
      <c r="J48" s="136"/>
      <c r="L48" s="28"/>
      <c r="M48" s="28"/>
      <c r="N48" s="28"/>
      <c r="O48" s="28"/>
      <c r="P48" s="28"/>
      <c r="Q48" s="28"/>
      <c r="R48" s="28"/>
      <c r="S48" s="28"/>
      <c r="T48" s="28"/>
      <c r="U48" s="145"/>
    </row>
    <row r="49" spans="1:21">
      <c r="A49" s="139" t="s">
        <v>769</v>
      </c>
      <c r="B49" s="139"/>
      <c r="C49" s="140" t="s">
        <v>770</v>
      </c>
      <c r="D49" s="141" t="s">
        <v>771</v>
      </c>
      <c r="E49" s="139" t="s">
        <v>613</v>
      </c>
      <c r="F49" s="139" t="s">
        <v>772</v>
      </c>
      <c r="G49" s="139" t="s">
        <v>773</v>
      </c>
      <c r="H49" s="139" t="s">
        <v>774</v>
      </c>
      <c r="I49" s="142" t="s">
        <v>771</v>
      </c>
      <c r="J49" s="136" t="s">
        <v>775</v>
      </c>
      <c r="L49" s="28"/>
      <c r="M49" s="28"/>
      <c r="N49" s="28"/>
      <c r="O49" s="28"/>
      <c r="P49" s="28"/>
      <c r="Q49" s="28"/>
      <c r="R49" s="28"/>
      <c r="S49" s="28"/>
      <c r="T49" s="28"/>
      <c r="U49" s="145"/>
    </row>
    <row r="50" spans="1:21">
      <c r="A50" s="11" t="s">
        <v>47</v>
      </c>
      <c r="B50" s="11" t="s">
        <v>776</v>
      </c>
      <c r="C50" s="143" t="s">
        <v>790</v>
      </c>
      <c r="D50" s="92">
        <v>10.57</v>
      </c>
      <c r="E50" s="11">
        <v>0.6</v>
      </c>
      <c r="F50" s="11">
        <v>1.1000000000000001</v>
      </c>
      <c r="G50" s="11">
        <v>1.03</v>
      </c>
      <c r="H50" s="11">
        <v>1.01</v>
      </c>
      <c r="I50" s="144">
        <f t="shared" ref="I50:I60" si="3">(((D50*E50)*F50)+H50)*G50</f>
        <v>8.2257860000000012</v>
      </c>
      <c r="J50" s="136">
        <v>23</v>
      </c>
      <c r="L50" s="28"/>
      <c r="M50" s="28"/>
      <c r="N50" s="28"/>
      <c r="O50" s="28"/>
      <c r="P50" s="28"/>
      <c r="Q50" s="28"/>
      <c r="R50" s="28"/>
      <c r="S50" s="28"/>
      <c r="T50" s="28"/>
      <c r="U50" s="145"/>
    </row>
    <row r="51" spans="1:21">
      <c r="A51" s="11" t="s">
        <v>49</v>
      </c>
      <c r="B51" s="11" t="s">
        <v>778</v>
      </c>
      <c r="C51" s="143" t="s">
        <v>790</v>
      </c>
      <c r="D51" s="92">
        <v>12.27</v>
      </c>
      <c r="E51" s="11">
        <v>0.6</v>
      </c>
      <c r="F51" s="11">
        <v>1.1000000000000001</v>
      </c>
      <c r="G51" s="11">
        <v>1.03</v>
      </c>
      <c r="H51" s="11">
        <v>1.01</v>
      </c>
      <c r="I51" s="144">
        <f t="shared" si="3"/>
        <v>9.3814460000000004</v>
      </c>
      <c r="J51" s="136">
        <v>23</v>
      </c>
      <c r="L51" s="28"/>
      <c r="M51" s="28"/>
      <c r="N51" s="28"/>
      <c r="O51" s="28"/>
      <c r="P51" s="28"/>
      <c r="Q51" s="28"/>
      <c r="R51" s="28"/>
      <c r="S51" s="28"/>
      <c r="T51" s="28"/>
      <c r="U51" s="145"/>
    </row>
    <row r="52" spans="1:21">
      <c r="A52" s="11" t="s">
        <v>51</v>
      </c>
      <c r="B52" s="11" t="s">
        <v>779</v>
      </c>
      <c r="C52" s="143" t="s">
        <v>790</v>
      </c>
      <c r="D52" s="92">
        <v>14.39</v>
      </c>
      <c r="E52" s="11">
        <v>0.6</v>
      </c>
      <c r="F52" s="11">
        <v>1.1000000000000001</v>
      </c>
      <c r="G52" s="11">
        <v>1.03</v>
      </c>
      <c r="H52" s="11">
        <v>1.4</v>
      </c>
      <c r="I52" s="144">
        <f t="shared" si="3"/>
        <v>11.224322000000001</v>
      </c>
      <c r="J52" s="136">
        <v>25</v>
      </c>
      <c r="L52" s="28"/>
      <c r="M52" s="28"/>
      <c r="N52" s="28"/>
      <c r="O52" s="28"/>
      <c r="P52" s="28"/>
      <c r="Q52" s="28"/>
      <c r="R52" s="28"/>
      <c r="S52" s="28"/>
      <c r="T52" s="28"/>
      <c r="U52" s="145"/>
    </row>
    <row r="53" spans="1:21">
      <c r="A53" s="11" t="s">
        <v>53</v>
      </c>
      <c r="B53" s="11" t="s">
        <v>780</v>
      </c>
      <c r="C53" s="143" t="s">
        <v>790</v>
      </c>
      <c r="D53" s="92">
        <v>18.03</v>
      </c>
      <c r="E53" s="11">
        <v>0.6</v>
      </c>
      <c r="F53" s="11">
        <v>1.1000000000000001</v>
      </c>
      <c r="G53" s="11">
        <v>1.03</v>
      </c>
      <c r="H53" s="11">
        <v>1.4</v>
      </c>
      <c r="I53" s="144">
        <f t="shared" si="3"/>
        <v>13.698794000000001</v>
      </c>
      <c r="J53" s="136">
        <v>25</v>
      </c>
      <c r="L53" s="28"/>
      <c r="M53" s="28"/>
      <c r="N53" s="28"/>
      <c r="O53" s="28"/>
      <c r="P53" s="28"/>
      <c r="Q53" s="28"/>
      <c r="R53" s="28"/>
      <c r="S53" s="28"/>
      <c r="T53" s="28"/>
      <c r="U53" s="145"/>
    </row>
    <row r="54" spans="1:21">
      <c r="A54" s="11" t="s">
        <v>55</v>
      </c>
      <c r="B54" s="11" t="s">
        <v>781</v>
      </c>
      <c r="C54" s="143" t="s">
        <v>790</v>
      </c>
      <c r="D54" s="92">
        <v>23.49</v>
      </c>
      <c r="E54" s="11">
        <v>0.6</v>
      </c>
      <c r="F54" s="11">
        <v>1.1000000000000001</v>
      </c>
      <c r="G54" s="11">
        <v>1.03</v>
      </c>
      <c r="H54" s="11">
        <v>1.69</v>
      </c>
      <c r="I54" s="144">
        <f t="shared" si="3"/>
        <v>17.709202000000001</v>
      </c>
      <c r="J54" s="136">
        <v>25</v>
      </c>
      <c r="L54" s="28"/>
      <c r="M54" s="28"/>
      <c r="N54" s="28"/>
      <c r="O54" s="28"/>
      <c r="P54" s="28"/>
      <c r="Q54" s="28"/>
      <c r="R54" s="28"/>
      <c r="S54" s="28"/>
      <c r="T54" s="28"/>
      <c r="U54" s="145"/>
    </row>
    <row r="55" spans="1:21">
      <c r="A55" s="11" t="s">
        <v>57</v>
      </c>
      <c r="B55" s="11" t="s">
        <v>782</v>
      </c>
      <c r="C55" s="143" t="s">
        <v>790</v>
      </c>
      <c r="D55" s="92">
        <v>35.06</v>
      </c>
      <c r="E55" s="11">
        <v>0.6</v>
      </c>
      <c r="F55" s="11">
        <v>1.1499999999999999</v>
      </c>
      <c r="G55" s="11">
        <v>1.03</v>
      </c>
      <c r="H55" s="11">
        <v>2.0499999999999998</v>
      </c>
      <c r="I55" s="144">
        <f t="shared" si="3"/>
        <v>27.028641999999998</v>
      </c>
      <c r="J55" s="136">
        <v>25</v>
      </c>
      <c r="L55" s="28"/>
      <c r="M55" s="28"/>
      <c r="N55" s="28"/>
      <c r="O55" s="28"/>
      <c r="P55" s="28"/>
      <c r="Q55" s="28"/>
      <c r="R55" s="28"/>
      <c r="S55" s="28"/>
      <c r="T55" s="28"/>
      <c r="U55" s="145"/>
    </row>
    <row r="56" spans="1:21">
      <c r="A56" s="11" t="s">
        <v>59</v>
      </c>
      <c r="B56" s="11" t="s">
        <v>783</v>
      </c>
      <c r="C56" s="143" t="s">
        <v>790</v>
      </c>
      <c r="D56" s="92">
        <v>40.6</v>
      </c>
      <c r="E56" s="11">
        <v>0.6</v>
      </c>
      <c r="F56" s="11">
        <v>1.1499999999999999</v>
      </c>
      <c r="G56" s="11">
        <v>1.03</v>
      </c>
      <c r="H56" s="11">
        <v>2.59</v>
      </c>
      <c r="I56" s="144">
        <f t="shared" si="3"/>
        <v>31.522119999999997</v>
      </c>
      <c r="J56" s="136">
        <v>25</v>
      </c>
      <c r="L56" s="28"/>
      <c r="M56" s="28"/>
      <c r="N56" s="28"/>
      <c r="O56" s="28"/>
      <c r="P56" s="28"/>
      <c r="Q56" s="28"/>
      <c r="R56" s="28"/>
      <c r="S56" s="28"/>
      <c r="T56" s="28"/>
      <c r="U56" s="145"/>
    </row>
    <row r="57" spans="1:21">
      <c r="A57" s="11" t="s">
        <v>60</v>
      </c>
      <c r="B57" s="11" t="s">
        <v>784</v>
      </c>
      <c r="C57" s="143" t="s">
        <v>790</v>
      </c>
      <c r="D57" s="92">
        <v>45.67</v>
      </c>
      <c r="E57" s="11">
        <v>0.6</v>
      </c>
      <c r="F57" s="11">
        <v>1.1499999999999999</v>
      </c>
      <c r="G57" s="11">
        <v>1.03</v>
      </c>
      <c r="H57" s="11">
        <v>3.14</v>
      </c>
      <c r="I57" s="144">
        <f t="shared" si="3"/>
        <v>35.691868999999997</v>
      </c>
      <c r="J57" s="136">
        <v>30</v>
      </c>
      <c r="L57" s="28"/>
      <c r="M57" s="28"/>
      <c r="N57" s="28"/>
      <c r="O57" s="28"/>
      <c r="P57" s="28"/>
      <c r="Q57" s="28"/>
      <c r="R57" s="28"/>
      <c r="S57" s="28"/>
      <c r="T57" s="28"/>
      <c r="U57" s="145"/>
    </row>
    <row r="58" spans="1:21">
      <c r="A58" s="11" t="s">
        <v>62</v>
      </c>
      <c r="B58" s="11" t="s">
        <v>785</v>
      </c>
      <c r="C58" s="143" t="s">
        <v>790</v>
      </c>
      <c r="D58" s="92">
        <v>75.47</v>
      </c>
      <c r="E58" s="11">
        <v>0.6</v>
      </c>
      <c r="F58" s="11">
        <v>1.1499999999999999</v>
      </c>
      <c r="G58" s="11">
        <v>1.03</v>
      </c>
      <c r="H58" s="11">
        <v>3.86</v>
      </c>
      <c r="I58" s="144">
        <f t="shared" si="3"/>
        <v>57.612328999999995</v>
      </c>
      <c r="J58" s="145">
        <v>30</v>
      </c>
      <c r="L58" s="28"/>
      <c r="M58" s="28"/>
      <c r="N58" s="28"/>
      <c r="O58" s="28"/>
      <c r="P58" s="28"/>
      <c r="Q58" s="28"/>
      <c r="R58" s="28"/>
      <c r="S58" s="28"/>
      <c r="T58" s="28"/>
      <c r="U58" s="145"/>
    </row>
    <row r="59" spans="1:21">
      <c r="A59" s="11" t="s">
        <v>63</v>
      </c>
      <c r="B59" s="11" t="s">
        <v>786</v>
      </c>
      <c r="C59" s="143" t="s">
        <v>790</v>
      </c>
      <c r="D59" s="92">
        <v>107.96</v>
      </c>
      <c r="E59" s="11">
        <v>0.6</v>
      </c>
      <c r="F59" s="11">
        <v>1.1499999999999999</v>
      </c>
      <c r="G59" s="11">
        <v>1.03</v>
      </c>
      <c r="H59" s="11">
        <v>3.86</v>
      </c>
      <c r="I59" s="144">
        <f t="shared" si="3"/>
        <v>80.702971999999988</v>
      </c>
      <c r="J59" s="145">
        <v>35</v>
      </c>
      <c r="L59" s="28"/>
      <c r="M59" s="28"/>
      <c r="N59" s="28"/>
      <c r="O59" s="28"/>
      <c r="P59" s="28"/>
      <c r="Q59" s="28"/>
      <c r="R59" s="28"/>
      <c r="S59" s="28"/>
      <c r="T59" s="28"/>
      <c r="U59" s="145"/>
    </row>
    <row r="60" spans="1:21">
      <c r="A60" s="11" t="s">
        <v>66</v>
      </c>
      <c r="B60" s="11" t="s">
        <v>788</v>
      </c>
      <c r="C60" s="143" t="s">
        <v>790</v>
      </c>
      <c r="D60" s="92">
        <v>113.8</v>
      </c>
      <c r="E60" s="11">
        <v>0.6</v>
      </c>
      <c r="F60" s="11">
        <v>1.1499999999999999</v>
      </c>
      <c r="G60" s="11">
        <v>1.03</v>
      </c>
      <c r="H60" s="11">
        <v>3.86</v>
      </c>
      <c r="I60" s="144">
        <f t="shared" si="3"/>
        <v>84.853459999999998</v>
      </c>
      <c r="J60" s="145">
        <v>35</v>
      </c>
      <c r="L60" s="28"/>
      <c r="M60" s="28"/>
      <c r="N60" s="28"/>
      <c r="O60" s="28"/>
      <c r="P60" s="28"/>
      <c r="Q60" s="28"/>
      <c r="R60" s="28"/>
      <c r="S60" s="28"/>
      <c r="T60" s="28"/>
      <c r="U60" s="145"/>
    </row>
    <row r="61" spans="1:21">
      <c r="C61" s="136"/>
      <c r="D61" s="138"/>
      <c r="I61" s="133"/>
      <c r="J61" s="145"/>
      <c r="N61" s="136"/>
      <c r="O61" s="138"/>
      <c r="T61" s="133"/>
      <c r="U61" s="145"/>
    </row>
    <row r="62" spans="1:21">
      <c r="C62" s="136"/>
      <c r="D62" s="138"/>
      <c r="I62" s="133"/>
      <c r="J62" s="145"/>
      <c r="N62" s="136"/>
      <c r="O62" s="138"/>
      <c r="T62" s="133"/>
      <c r="U62" s="145"/>
    </row>
    <row r="63" spans="1:21">
      <c r="A63" s="28" t="s">
        <v>766</v>
      </c>
      <c r="B63" s="135" t="s">
        <v>767</v>
      </c>
      <c r="C63" s="136"/>
      <c r="D63" s="137" t="s">
        <v>768</v>
      </c>
      <c r="I63" s="138"/>
      <c r="J63" s="136"/>
      <c r="N63" s="136"/>
      <c r="O63" s="138"/>
      <c r="T63" s="133"/>
      <c r="U63" s="145"/>
    </row>
    <row r="64" spans="1:21">
      <c r="A64" s="139" t="s">
        <v>769</v>
      </c>
      <c r="B64" s="139"/>
      <c r="C64" s="140" t="s">
        <v>770</v>
      </c>
      <c r="D64" s="141" t="s">
        <v>771</v>
      </c>
      <c r="E64" s="139" t="s">
        <v>613</v>
      </c>
      <c r="F64" s="139" t="s">
        <v>772</v>
      </c>
      <c r="G64" s="139" t="s">
        <v>773</v>
      </c>
      <c r="H64" s="139" t="s">
        <v>774</v>
      </c>
      <c r="I64" s="142" t="s">
        <v>771</v>
      </c>
      <c r="J64" s="136" t="s">
        <v>775</v>
      </c>
      <c r="N64" s="136"/>
      <c r="O64" s="138"/>
      <c r="T64" s="133"/>
      <c r="U64" s="145"/>
    </row>
    <row r="65" spans="1:21">
      <c r="A65" s="11" t="s">
        <v>47</v>
      </c>
      <c r="B65" s="11" t="s">
        <v>776</v>
      </c>
      <c r="C65" s="143" t="s">
        <v>791</v>
      </c>
      <c r="D65" s="92">
        <v>9.27</v>
      </c>
      <c r="E65" s="11">
        <v>0.6</v>
      </c>
      <c r="F65" s="11">
        <v>1.1000000000000001</v>
      </c>
      <c r="G65" s="11">
        <v>1.03</v>
      </c>
      <c r="H65" s="11">
        <v>1.01</v>
      </c>
      <c r="I65" s="144">
        <f>(((D65*E65)*F65)+H65)*G65</f>
        <v>7.3420459999999999</v>
      </c>
      <c r="J65" s="136">
        <v>23</v>
      </c>
      <c r="N65" s="136"/>
      <c r="O65" s="138"/>
      <c r="T65" s="133"/>
      <c r="U65" s="145"/>
    </row>
    <row r="66" spans="1:21">
      <c r="A66" s="11" t="s">
        <v>49</v>
      </c>
      <c r="B66" s="11" t="s">
        <v>778</v>
      </c>
      <c r="C66" s="143" t="s">
        <v>791</v>
      </c>
      <c r="D66" s="92">
        <v>10.94</v>
      </c>
      <c r="E66" s="11">
        <v>0.6</v>
      </c>
      <c r="F66" s="11">
        <v>1.1000000000000001</v>
      </c>
      <c r="G66" s="11">
        <v>1.03</v>
      </c>
      <c r="H66" s="11">
        <v>1.01</v>
      </c>
      <c r="I66" s="144">
        <f>(((D66*E66)*F66)+H66)*G66</f>
        <v>8.4773119999999995</v>
      </c>
      <c r="J66" s="136">
        <v>23</v>
      </c>
      <c r="N66" s="136"/>
      <c r="O66" s="138"/>
      <c r="T66" s="133"/>
      <c r="U66" s="145"/>
    </row>
    <row r="67" spans="1:21">
      <c r="A67" s="11" t="s">
        <v>51</v>
      </c>
      <c r="B67" s="11" t="s">
        <v>779</v>
      </c>
      <c r="C67" s="143" t="s">
        <v>791</v>
      </c>
      <c r="D67" s="92">
        <v>12.49</v>
      </c>
      <c r="E67" s="11">
        <v>0.6</v>
      </c>
      <c r="F67" s="11">
        <v>1.1000000000000001</v>
      </c>
      <c r="G67" s="11">
        <v>1.03</v>
      </c>
      <c r="H67" s="11">
        <v>1.4</v>
      </c>
      <c r="I67" s="144">
        <f>(((D67*E67)*F67)+H67)*G67</f>
        <v>9.9327020000000026</v>
      </c>
      <c r="J67" s="136">
        <v>25</v>
      </c>
      <c r="N67" s="136"/>
      <c r="O67" s="138"/>
      <c r="T67" s="133"/>
      <c r="U67" s="145"/>
    </row>
    <row r="68" spans="1:21">
      <c r="C68" s="136"/>
      <c r="D68" s="138"/>
      <c r="I68" s="133"/>
      <c r="J68" s="145"/>
      <c r="N68" s="136"/>
      <c r="O68" s="138"/>
      <c r="T68" s="133"/>
      <c r="U68" s="145"/>
    </row>
    <row r="69" spans="1:21">
      <c r="C69" s="136"/>
      <c r="D69" s="138"/>
      <c r="I69" s="133"/>
      <c r="J69" s="145"/>
      <c r="N69" s="136"/>
      <c r="O69" s="138"/>
      <c r="T69" s="133"/>
      <c r="U69" s="145"/>
    </row>
    <row r="70" spans="1:21">
      <c r="C70" s="136"/>
      <c r="D70" s="138"/>
      <c r="I70" s="133"/>
      <c r="J70" s="145"/>
      <c r="N70" s="136"/>
      <c r="O70" s="138"/>
      <c r="T70" s="133"/>
      <c r="U70" s="145"/>
    </row>
    <row r="71" spans="1:21">
      <c r="C71" s="136"/>
      <c r="D71" s="138"/>
      <c r="I71" s="133"/>
      <c r="J71" s="145"/>
      <c r="N71" s="136"/>
      <c r="O71" s="138"/>
      <c r="T71" s="133"/>
      <c r="U71" s="145"/>
    </row>
    <row r="72" spans="1:21">
      <c r="C72" s="136"/>
      <c r="D72" s="138"/>
      <c r="I72" s="133"/>
      <c r="J72" s="145"/>
      <c r="N72" s="136"/>
      <c r="O72" s="138"/>
      <c r="T72" s="133"/>
      <c r="U72" s="145"/>
    </row>
    <row r="73" spans="1:21">
      <c r="C73" s="136"/>
      <c r="D73" s="138"/>
      <c r="I73" s="133"/>
      <c r="J73" s="145"/>
      <c r="N73" s="136"/>
      <c r="O73" s="138"/>
      <c r="T73" s="133"/>
      <c r="U73" s="145"/>
    </row>
    <row r="74" spans="1:21">
      <c r="A74" s="28" t="s">
        <v>766</v>
      </c>
      <c r="B74" s="135" t="s">
        <v>792</v>
      </c>
      <c r="C74" s="136"/>
      <c r="D74" s="137" t="s">
        <v>793</v>
      </c>
      <c r="I74" s="138"/>
      <c r="J74" s="136"/>
      <c r="N74" s="136"/>
      <c r="O74" s="138"/>
      <c r="T74" s="133"/>
      <c r="U74" s="136"/>
    </row>
    <row r="75" spans="1:21">
      <c r="A75" s="11" t="s">
        <v>769</v>
      </c>
      <c r="B75" s="11"/>
      <c r="C75" s="143" t="s">
        <v>770</v>
      </c>
      <c r="D75" s="92" t="s">
        <v>771</v>
      </c>
      <c r="E75" s="11" t="s">
        <v>613</v>
      </c>
      <c r="F75" s="11" t="s">
        <v>772</v>
      </c>
      <c r="G75" s="11" t="s">
        <v>773</v>
      </c>
      <c r="H75" s="11" t="s">
        <v>774</v>
      </c>
      <c r="I75" s="147" t="s">
        <v>771</v>
      </c>
      <c r="J75" s="136"/>
      <c r="N75" s="136"/>
      <c r="O75" s="138"/>
      <c r="T75" s="133"/>
      <c r="U75" s="136"/>
    </row>
    <row r="76" spans="1:21">
      <c r="A76" s="11" t="s">
        <v>47</v>
      </c>
      <c r="B76" s="11" t="s">
        <v>776</v>
      </c>
      <c r="C76" s="143" t="s">
        <v>789</v>
      </c>
      <c r="D76" s="92">
        <v>17.05</v>
      </c>
      <c r="E76" s="11">
        <v>0.6</v>
      </c>
      <c r="F76" s="11">
        <v>1.1000000000000001</v>
      </c>
      <c r="G76" s="11">
        <v>1.03</v>
      </c>
      <c r="H76" s="11">
        <v>1.01</v>
      </c>
      <c r="I76" s="144">
        <f t="shared" ref="I76:I88" si="4">(((D76*E76)*F76)+H76)*G76</f>
        <v>12.630890000000003</v>
      </c>
      <c r="J76" s="136"/>
      <c r="N76" s="136"/>
      <c r="O76" s="138"/>
      <c r="T76" s="133"/>
      <c r="U76" s="136"/>
    </row>
    <row r="77" spans="1:21">
      <c r="A77" s="11" t="s">
        <v>49</v>
      </c>
      <c r="B77" s="11" t="s">
        <v>778</v>
      </c>
      <c r="C77" s="143" t="s">
        <v>789</v>
      </c>
      <c r="D77" s="92">
        <v>18.48</v>
      </c>
      <c r="E77" s="11">
        <v>0.6</v>
      </c>
      <c r="F77" s="11">
        <v>1.1000000000000001</v>
      </c>
      <c r="G77" s="11">
        <v>1.03</v>
      </c>
      <c r="H77" s="11">
        <v>1.01</v>
      </c>
      <c r="I77" s="144">
        <f t="shared" si="4"/>
        <v>13.603004</v>
      </c>
      <c r="J77" s="136"/>
      <c r="N77" s="136"/>
      <c r="O77" s="138"/>
      <c r="T77" s="133"/>
      <c r="U77" s="136"/>
    </row>
    <row r="78" spans="1:21">
      <c r="A78" s="11" t="s">
        <v>51</v>
      </c>
      <c r="B78" s="11" t="s">
        <v>779</v>
      </c>
      <c r="C78" s="143" t="s">
        <v>789</v>
      </c>
      <c r="D78" s="92">
        <v>22.38</v>
      </c>
      <c r="E78" s="11">
        <v>0.6</v>
      </c>
      <c r="F78" s="11">
        <v>1.1000000000000001</v>
      </c>
      <c r="G78" s="11">
        <v>1.03</v>
      </c>
      <c r="H78" s="11">
        <v>1.4</v>
      </c>
      <c r="I78" s="144">
        <f t="shared" si="4"/>
        <v>16.655923999999999</v>
      </c>
      <c r="J78" s="136"/>
      <c r="N78" s="136"/>
      <c r="O78" s="138"/>
      <c r="T78" s="133"/>
      <c r="U78" s="136"/>
    </row>
    <row r="79" spans="1:21">
      <c r="A79" s="11" t="s">
        <v>53</v>
      </c>
      <c r="B79" s="11" t="s">
        <v>780</v>
      </c>
      <c r="C79" s="143" t="s">
        <v>789</v>
      </c>
      <c r="D79" s="92">
        <v>25.02</v>
      </c>
      <c r="E79" s="11">
        <v>0.6</v>
      </c>
      <c r="F79" s="11">
        <v>1.1000000000000001</v>
      </c>
      <c r="G79" s="11">
        <v>1.03</v>
      </c>
      <c r="H79" s="11">
        <v>1.4</v>
      </c>
      <c r="I79" s="144">
        <f t="shared" si="4"/>
        <v>18.450596000000001</v>
      </c>
      <c r="J79" s="136"/>
      <c r="N79" s="136"/>
      <c r="O79" s="138"/>
      <c r="T79" s="133"/>
      <c r="U79" s="136"/>
    </row>
    <row r="80" spans="1:21">
      <c r="A80" s="11" t="s">
        <v>55</v>
      </c>
      <c r="B80" s="11" t="s">
        <v>781</v>
      </c>
      <c r="C80" s="143" t="s">
        <v>789</v>
      </c>
      <c r="D80" s="92">
        <v>30.02</v>
      </c>
      <c r="E80" s="11">
        <v>0.6</v>
      </c>
      <c r="F80" s="11">
        <v>1.1000000000000001</v>
      </c>
      <c r="G80" s="11">
        <v>1.03</v>
      </c>
      <c r="H80" s="11">
        <v>1.69</v>
      </c>
      <c r="I80" s="144">
        <f t="shared" si="4"/>
        <v>22.148296000000006</v>
      </c>
      <c r="J80" s="136"/>
      <c r="N80" s="136"/>
      <c r="O80" s="138"/>
      <c r="T80" s="133"/>
      <c r="U80" s="136"/>
    </row>
    <row r="81" spans="1:21">
      <c r="A81" s="11" t="s">
        <v>57</v>
      </c>
      <c r="B81" s="11" t="s">
        <v>782</v>
      </c>
      <c r="C81" s="143" t="s">
        <v>789</v>
      </c>
      <c r="D81" s="92">
        <v>38.909999999999997</v>
      </c>
      <c r="E81" s="11">
        <v>0.6</v>
      </c>
      <c r="F81" s="11">
        <v>1.1499999999999999</v>
      </c>
      <c r="G81" s="11">
        <v>1.03</v>
      </c>
      <c r="H81" s="11">
        <v>2.0499999999999998</v>
      </c>
      <c r="I81" s="144">
        <f t="shared" si="4"/>
        <v>29.764836999999996</v>
      </c>
      <c r="J81" s="136"/>
      <c r="N81" s="136"/>
      <c r="O81" s="138"/>
      <c r="T81" s="133"/>
      <c r="U81" s="136"/>
    </row>
    <row r="82" spans="1:21">
      <c r="A82" s="11" t="s">
        <v>59</v>
      </c>
      <c r="B82" s="11" t="s">
        <v>783</v>
      </c>
      <c r="C82" s="143" t="s">
        <v>789</v>
      </c>
      <c r="D82" s="92">
        <v>50.12</v>
      </c>
      <c r="E82" s="11">
        <v>0.6</v>
      </c>
      <c r="F82" s="11">
        <v>1.1499999999999999</v>
      </c>
      <c r="G82" s="11">
        <v>1.03</v>
      </c>
      <c r="H82" s="11">
        <v>2.59</v>
      </c>
      <c r="I82" s="144">
        <f t="shared" si="4"/>
        <v>38.287983999999994</v>
      </c>
      <c r="J82" s="136"/>
      <c r="N82" s="136"/>
      <c r="O82" s="138"/>
      <c r="T82" s="133"/>
      <c r="U82" s="136"/>
    </row>
    <row r="83" spans="1:21">
      <c r="A83" s="11" t="s">
        <v>60</v>
      </c>
      <c r="B83" s="11" t="s">
        <v>784</v>
      </c>
      <c r="C83" s="143" t="s">
        <v>789</v>
      </c>
      <c r="D83" s="92">
        <v>60.69</v>
      </c>
      <c r="E83" s="11">
        <v>0.6</v>
      </c>
      <c r="F83" s="11">
        <v>1.1499999999999999</v>
      </c>
      <c r="G83" s="11">
        <v>1.03</v>
      </c>
      <c r="H83" s="11">
        <v>3.14</v>
      </c>
      <c r="I83" s="144">
        <f t="shared" si="4"/>
        <v>46.366582999999991</v>
      </c>
      <c r="J83" s="136"/>
      <c r="N83" s="136"/>
      <c r="O83" s="138"/>
      <c r="T83" s="133"/>
      <c r="U83" s="136"/>
    </row>
    <row r="84" spans="1:21">
      <c r="A84" s="11" t="s">
        <v>62</v>
      </c>
      <c r="B84" s="11" t="s">
        <v>785</v>
      </c>
      <c r="C84" s="143" t="s">
        <v>789</v>
      </c>
      <c r="D84" s="92">
        <v>87.93</v>
      </c>
      <c r="E84" s="11">
        <v>0.6</v>
      </c>
      <c r="F84" s="11">
        <v>1.1499999999999999</v>
      </c>
      <c r="G84" s="11">
        <v>1.03</v>
      </c>
      <c r="H84" s="11">
        <v>3.86</v>
      </c>
      <c r="I84" s="144">
        <f t="shared" si="4"/>
        <v>66.467651000000004</v>
      </c>
      <c r="J84" s="145"/>
      <c r="N84" s="136"/>
      <c r="O84" s="138"/>
      <c r="T84" s="133"/>
      <c r="U84" s="145"/>
    </row>
    <row r="85" spans="1:21">
      <c r="A85" s="11" t="s">
        <v>63</v>
      </c>
      <c r="B85" s="11" t="s">
        <v>786</v>
      </c>
      <c r="C85" s="143" t="s">
        <v>789</v>
      </c>
      <c r="D85" s="92">
        <v>134.63999999999999</v>
      </c>
      <c r="E85" s="11">
        <v>0.6</v>
      </c>
      <c r="F85" s="11">
        <v>1.1499999999999999</v>
      </c>
      <c r="G85" s="11">
        <v>1.03</v>
      </c>
      <c r="H85" s="11">
        <v>3.86</v>
      </c>
      <c r="I85" s="144">
        <f t="shared" si="4"/>
        <v>99.664447999999993</v>
      </c>
      <c r="J85" s="136"/>
      <c r="N85" s="136"/>
      <c r="O85" s="138"/>
      <c r="T85" s="133"/>
    </row>
    <row r="86" spans="1:21">
      <c r="A86" s="11" t="s">
        <v>66</v>
      </c>
      <c r="B86" s="11" t="s">
        <v>788</v>
      </c>
      <c r="C86" s="143" t="s">
        <v>789</v>
      </c>
      <c r="D86" s="92">
        <v>163.84</v>
      </c>
      <c r="E86" s="11">
        <v>0.6</v>
      </c>
      <c r="F86" s="11">
        <v>1.1499999999999999</v>
      </c>
      <c r="G86" s="11">
        <v>1.03</v>
      </c>
      <c r="H86" s="11">
        <v>3.86</v>
      </c>
      <c r="I86" s="144">
        <f t="shared" si="4"/>
        <v>120.416888</v>
      </c>
      <c r="J86" s="136"/>
      <c r="N86" s="136"/>
      <c r="O86" s="138"/>
      <c r="T86" s="133"/>
    </row>
    <row r="87" spans="1:21">
      <c r="A87" s="11" t="s">
        <v>121</v>
      </c>
      <c r="B87" s="11" t="s">
        <v>794</v>
      </c>
      <c r="C87" s="143" t="s">
        <v>789</v>
      </c>
      <c r="D87" s="92">
        <f>((219.1+2*13)/1000)*3.14*172.38</f>
        <v>132.66606132000001</v>
      </c>
      <c r="E87" s="11">
        <v>0.6</v>
      </c>
      <c r="F87" s="11">
        <v>1.1499999999999999</v>
      </c>
      <c r="G87" s="11">
        <v>1.03</v>
      </c>
      <c r="H87" s="11">
        <v>5.67</v>
      </c>
      <c r="I87" s="144">
        <f t="shared" si="4"/>
        <v>100.12586978012399</v>
      </c>
      <c r="J87" s="136"/>
      <c r="N87" s="136"/>
      <c r="O87" s="138"/>
      <c r="T87" s="133"/>
    </row>
    <row r="88" spans="1:21">
      <c r="A88" s="11" t="s">
        <v>122</v>
      </c>
      <c r="B88" s="11" t="s">
        <v>795</v>
      </c>
      <c r="C88" s="143" t="s">
        <v>789</v>
      </c>
      <c r="D88" s="92">
        <f>((273+2*13)/1000)*3.14*172.38</f>
        <v>161.84068680000001</v>
      </c>
      <c r="E88" s="11">
        <v>0.6</v>
      </c>
      <c r="F88" s="11">
        <v>1.1499999999999999</v>
      </c>
      <c r="G88" s="11">
        <v>1.03</v>
      </c>
      <c r="H88" s="11">
        <v>5.67</v>
      </c>
      <c r="I88" s="144">
        <f t="shared" si="4"/>
        <v>120.86027610875999</v>
      </c>
      <c r="J88" s="136"/>
      <c r="N88" s="136"/>
      <c r="O88" s="138"/>
      <c r="T88" s="133"/>
    </row>
    <row r="89" spans="1:21">
      <c r="A89" s="11"/>
      <c r="B89" s="11"/>
      <c r="C89" s="143"/>
      <c r="D89" s="92"/>
      <c r="E89" s="11"/>
      <c r="F89" s="11"/>
      <c r="G89" s="11"/>
      <c r="H89" s="11"/>
      <c r="I89" s="144"/>
      <c r="J89" s="136"/>
    </row>
    <row r="90" spans="1:21">
      <c r="A90" s="11"/>
      <c r="B90" s="11"/>
      <c r="C90" s="143"/>
      <c r="D90" s="92"/>
      <c r="E90" s="11"/>
      <c r="F90" s="11"/>
      <c r="G90" s="11"/>
      <c r="H90" s="11"/>
      <c r="I90" s="144"/>
      <c r="J90" s="136"/>
    </row>
    <row r="91" spans="1:21">
      <c r="C91" s="136"/>
      <c r="D91" s="138"/>
      <c r="I91" s="133"/>
      <c r="J91" s="145"/>
    </row>
    <row r="92" spans="1:21">
      <c r="C92" s="136"/>
      <c r="D92" s="138"/>
      <c r="I92" s="133"/>
      <c r="J92" s="145"/>
    </row>
    <row r="93" spans="1:21">
      <c r="A93" s="28" t="s">
        <v>766</v>
      </c>
      <c r="B93" s="135" t="s">
        <v>796</v>
      </c>
      <c r="C93" s="136"/>
      <c r="D93" s="137" t="s">
        <v>768</v>
      </c>
      <c r="I93" s="138"/>
      <c r="J93" s="145"/>
    </row>
    <row r="94" spans="1:21">
      <c r="A94" s="148" t="s">
        <v>769</v>
      </c>
      <c r="B94" s="148"/>
      <c r="C94" s="149" t="s">
        <v>770</v>
      </c>
      <c r="D94" s="150" t="s">
        <v>771</v>
      </c>
      <c r="E94" s="148" t="s">
        <v>613</v>
      </c>
      <c r="F94" s="148" t="s">
        <v>772</v>
      </c>
      <c r="G94" s="148" t="s">
        <v>773</v>
      </c>
      <c r="H94" s="148" t="s">
        <v>774</v>
      </c>
      <c r="I94" s="151" t="s">
        <v>771</v>
      </c>
      <c r="J94" s="145"/>
    </row>
    <row r="95" spans="1:21">
      <c r="A95" s="11" t="s">
        <v>47</v>
      </c>
      <c r="B95" s="11" t="s">
        <v>776</v>
      </c>
      <c r="C95" s="143" t="s">
        <v>777</v>
      </c>
      <c r="D95" s="92">
        <v>128.22</v>
      </c>
      <c r="E95" s="11">
        <v>0.6</v>
      </c>
      <c r="F95" s="11">
        <v>1.1000000000000001</v>
      </c>
      <c r="G95" s="11">
        <v>1.03</v>
      </c>
      <c r="H95" s="11">
        <v>1.01</v>
      </c>
      <c r="I95" s="144">
        <f t="shared" ref="I95:I103" si="5">(((D95*E95)*F95)+H95)*G95</f>
        <v>88.204256000000015</v>
      </c>
      <c r="J95" s="145"/>
    </row>
    <row r="96" spans="1:21">
      <c r="A96" s="11" t="s">
        <v>49</v>
      </c>
      <c r="B96" s="11" t="s">
        <v>778</v>
      </c>
      <c r="C96" s="143" t="s">
        <v>777</v>
      </c>
      <c r="D96" s="92">
        <v>132.06</v>
      </c>
      <c r="E96" s="11">
        <v>0.6</v>
      </c>
      <c r="F96" s="11">
        <v>1.1000000000000001</v>
      </c>
      <c r="G96" s="11">
        <v>1.03</v>
      </c>
      <c r="H96" s="11">
        <v>1.01</v>
      </c>
      <c r="I96" s="144">
        <f t="shared" si="5"/>
        <v>90.814688000000018</v>
      </c>
      <c r="J96" s="145"/>
    </row>
    <row r="97" spans="1:10">
      <c r="A97" s="11" t="s">
        <v>51</v>
      </c>
      <c r="B97" s="11" t="s">
        <v>779</v>
      </c>
      <c r="C97" s="143" t="s">
        <v>777</v>
      </c>
      <c r="D97" s="92">
        <v>186.04</v>
      </c>
      <c r="E97" s="11">
        <v>0.6</v>
      </c>
      <c r="F97" s="11">
        <v>1.1000000000000001</v>
      </c>
      <c r="G97" s="11">
        <v>1.03</v>
      </c>
      <c r="H97" s="11">
        <v>1.4</v>
      </c>
      <c r="I97" s="144">
        <f t="shared" si="5"/>
        <v>127.91199200000001</v>
      </c>
      <c r="J97" s="145"/>
    </row>
    <row r="98" spans="1:10">
      <c r="A98" s="11" t="s">
        <v>53</v>
      </c>
      <c r="B98" s="11" t="s">
        <v>780</v>
      </c>
      <c r="C98" s="143" t="s">
        <v>777</v>
      </c>
      <c r="D98" s="92">
        <v>190.17</v>
      </c>
      <c r="E98" s="11">
        <v>0.6</v>
      </c>
      <c r="F98" s="11">
        <v>1.1000000000000001</v>
      </c>
      <c r="G98" s="11">
        <v>1.03</v>
      </c>
      <c r="H98" s="11">
        <v>1.4</v>
      </c>
      <c r="I98" s="144">
        <f t="shared" si="5"/>
        <v>130.71956600000001</v>
      </c>
      <c r="J98" s="145"/>
    </row>
    <row r="99" spans="1:10">
      <c r="A99" s="11" t="s">
        <v>55</v>
      </c>
      <c r="B99" s="11" t="s">
        <v>781</v>
      </c>
      <c r="C99" s="143" t="s">
        <v>777</v>
      </c>
      <c r="D99" s="92">
        <v>218.27</v>
      </c>
      <c r="E99" s="11">
        <v>0.6</v>
      </c>
      <c r="F99" s="11">
        <v>1.1000000000000001</v>
      </c>
      <c r="G99" s="11">
        <v>1.03</v>
      </c>
      <c r="H99" s="11">
        <v>1.69</v>
      </c>
      <c r="I99" s="144">
        <f t="shared" si="5"/>
        <v>150.12064599999999</v>
      </c>
      <c r="J99" s="145"/>
    </row>
    <row r="100" spans="1:10">
      <c r="A100" s="11" t="s">
        <v>57</v>
      </c>
      <c r="B100" s="11" t="s">
        <v>782</v>
      </c>
      <c r="C100" s="143" t="s">
        <v>777</v>
      </c>
      <c r="D100" s="92">
        <v>268.77999999999997</v>
      </c>
      <c r="E100" s="11">
        <v>0.6</v>
      </c>
      <c r="F100" s="11">
        <v>1.1499999999999999</v>
      </c>
      <c r="G100" s="11">
        <v>1.03</v>
      </c>
      <c r="H100" s="11">
        <v>2.0499999999999998</v>
      </c>
      <c r="I100" s="144">
        <f t="shared" si="5"/>
        <v>193.13344599999996</v>
      </c>
      <c r="J100" s="145"/>
    </row>
    <row r="101" spans="1:10">
      <c r="A101" s="11" t="s">
        <v>59</v>
      </c>
      <c r="B101" s="11" t="s">
        <v>783</v>
      </c>
      <c r="C101" s="143" t="s">
        <v>777</v>
      </c>
      <c r="D101" s="92">
        <v>384.55</v>
      </c>
      <c r="E101" s="11">
        <v>0.6</v>
      </c>
      <c r="F101" s="11">
        <v>1.1499999999999999</v>
      </c>
      <c r="G101" s="11">
        <v>1.03</v>
      </c>
      <c r="H101" s="11">
        <v>2.59</v>
      </c>
      <c r="I101" s="144">
        <f t="shared" si="5"/>
        <v>275.96738499999998</v>
      </c>
      <c r="J101" s="145"/>
    </row>
    <row r="102" spans="1:10">
      <c r="A102" s="11" t="s">
        <v>60</v>
      </c>
      <c r="B102" s="11" t="s">
        <v>784</v>
      </c>
      <c r="C102" s="143" t="s">
        <v>777</v>
      </c>
      <c r="D102" s="92">
        <v>304.74</v>
      </c>
      <c r="E102" s="11">
        <v>0.6</v>
      </c>
      <c r="F102" s="11">
        <v>1.1499999999999999</v>
      </c>
      <c r="G102" s="11">
        <v>1.03</v>
      </c>
      <c r="H102" s="11">
        <v>3.14</v>
      </c>
      <c r="I102" s="144">
        <f t="shared" si="5"/>
        <v>219.81291799999997</v>
      </c>
      <c r="J102" s="145"/>
    </row>
    <row r="103" spans="1:10">
      <c r="A103" s="11" t="s">
        <v>62</v>
      </c>
      <c r="B103" s="11" t="s">
        <v>785</v>
      </c>
      <c r="C103" s="143" t="s">
        <v>777</v>
      </c>
      <c r="D103" s="92">
        <v>317.06</v>
      </c>
      <c r="E103" s="11">
        <v>0.6</v>
      </c>
      <c r="F103" s="11">
        <v>1.1499999999999999</v>
      </c>
      <c r="G103" s="11">
        <v>1.03</v>
      </c>
      <c r="H103" s="11">
        <v>3.86</v>
      </c>
      <c r="I103" s="144">
        <f t="shared" si="5"/>
        <v>229.31034199999999</v>
      </c>
      <c r="J103" s="145"/>
    </row>
    <row r="104" spans="1:10">
      <c r="C104" s="136"/>
      <c r="D104" s="138"/>
      <c r="I104" s="133"/>
      <c r="J104" s="145"/>
    </row>
    <row r="105" spans="1:10">
      <c r="C105" s="136"/>
      <c r="D105" s="138"/>
      <c r="I105" s="133"/>
      <c r="J105" s="145"/>
    </row>
    <row r="106" spans="1:10">
      <c r="J106" s="145"/>
    </row>
    <row r="107" spans="1:10">
      <c r="A107" s="28" t="s">
        <v>766</v>
      </c>
      <c r="B107" s="135" t="s">
        <v>796</v>
      </c>
      <c r="C107" s="136"/>
      <c r="D107" s="137" t="s">
        <v>768</v>
      </c>
      <c r="I107" s="138"/>
      <c r="J107" s="145"/>
    </row>
    <row r="108" spans="1:10">
      <c r="A108" s="148" t="s">
        <v>769</v>
      </c>
      <c r="B108" s="148"/>
      <c r="C108" s="149" t="s">
        <v>770</v>
      </c>
      <c r="D108" s="150" t="s">
        <v>771</v>
      </c>
      <c r="E108" s="148" t="s">
        <v>613</v>
      </c>
      <c r="F108" s="148" t="s">
        <v>772</v>
      </c>
      <c r="G108" s="148" t="s">
        <v>773</v>
      </c>
      <c r="H108" s="148" t="s">
        <v>774</v>
      </c>
      <c r="I108" s="151" t="s">
        <v>771</v>
      </c>
      <c r="J108" s="145"/>
    </row>
    <row r="109" spans="1:10">
      <c r="A109" s="11" t="s">
        <v>47</v>
      </c>
      <c r="B109" s="11" t="s">
        <v>776</v>
      </c>
      <c r="C109" s="143" t="s">
        <v>787</v>
      </c>
      <c r="D109" s="92">
        <v>96.11</v>
      </c>
      <c r="E109" s="11">
        <v>0.6</v>
      </c>
      <c r="F109" s="11">
        <v>1.1000000000000001</v>
      </c>
      <c r="G109" s="11">
        <v>1.03</v>
      </c>
      <c r="H109" s="11">
        <v>1.01</v>
      </c>
      <c r="I109" s="144">
        <f t="shared" ref="I109:I117" si="6">(((D109*E109)*F109)+H109)*G109</f>
        <v>66.375878</v>
      </c>
      <c r="J109" s="145"/>
    </row>
    <row r="110" spans="1:10">
      <c r="A110" s="11" t="s">
        <v>49</v>
      </c>
      <c r="B110" s="11" t="s">
        <v>778</v>
      </c>
      <c r="C110" s="143" t="s">
        <v>787</v>
      </c>
      <c r="D110" s="92">
        <v>102.74</v>
      </c>
      <c r="E110" s="11">
        <v>0.6</v>
      </c>
      <c r="F110" s="11">
        <v>1.1000000000000001</v>
      </c>
      <c r="G110" s="11">
        <v>1.03</v>
      </c>
      <c r="H110" s="11">
        <v>1.01</v>
      </c>
      <c r="I110" s="144">
        <f t="shared" si="6"/>
        <v>70.882952000000003</v>
      </c>
      <c r="J110" s="145"/>
    </row>
    <row r="111" spans="1:10">
      <c r="A111" s="11" t="s">
        <v>51</v>
      </c>
      <c r="B111" s="11" t="s">
        <v>779</v>
      </c>
      <c r="C111" s="143" t="s">
        <v>787</v>
      </c>
      <c r="D111" s="92">
        <v>110.8</v>
      </c>
      <c r="E111" s="11">
        <v>0.6</v>
      </c>
      <c r="F111" s="11">
        <v>1.1000000000000001</v>
      </c>
      <c r="G111" s="11">
        <v>1.03</v>
      </c>
      <c r="H111" s="11">
        <v>1.4</v>
      </c>
      <c r="I111" s="144">
        <f t="shared" si="6"/>
        <v>76.763840000000002</v>
      </c>
      <c r="J111" s="145"/>
    </row>
    <row r="112" spans="1:10">
      <c r="A112" s="11" t="s">
        <v>53</v>
      </c>
      <c r="B112" s="11" t="s">
        <v>780</v>
      </c>
      <c r="C112" s="143" t="s">
        <v>787</v>
      </c>
      <c r="D112" s="92">
        <v>127.73</v>
      </c>
      <c r="E112" s="11">
        <v>0.6</v>
      </c>
      <c r="F112" s="11">
        <v>1.1000000000000001</v>
      </c>
      <c r="G112" s="11">
        <v>1.03</v>
      </c>
      <c r="H112" s="11">
        <v>1.4</v>
      </c>
      <c r="I112" s="144">
        <f t="shared" si="6"/>
        <v>88.272854000000024</v>
      </c>
      <c r="J112" s="145"/>
    </row>
    <row r="113" spans="1:10">
      <c r="A113" s="11" t="s">
        <v>55</v>
      </c>
      <c r="B113" s="11" t="s">
        <v>781</v>
      </c>
      <c r="C113" s="143" t="s">
        <v>787</v>
      </c>
      <c r="D113" s="92">
        <v>170.04</v>
      </c>
      <c r="E113" s="11">
        <v>0.6</v>
      </c>
      <c r="F113" s="11">
        <v>1.1000000000000001</v>
      </c>
      <c r="G113" s="11">
        <v>1.03</v>
      </c>
      <c r="H113" s="11">
        <v>1.69</v>
      </c>
      <c r="I113" s="144">
        <f t="shared" si="6"/>
        <v>117.33389200000001</v>
      </c>
      <c r="J113" s="145"/>
    </row>
    <row r="114" spans="1:10">
      <c r="A114" s="11" t="s">
        <v>57</v>
      </c>
      <c r="B114" s="11" t="s">
        <v>782</v>
      </c>
      <c r="C114" s="143" t="s">
        <v>787</v>
      </c>
      <c r="D114" s="92">
        <v>198.78</v>
      </c>
      <c r="E114" s="11">
        <v>0.6</v>
      </c>
      <c r="F114" s="11">
        <v>1.1499999999999999</v>
      </c>
      <c r="G114" s="11">
        <v>1.03</v>
      </c>
      <c r="H114" s="11">
        <v>2.0499999999999998</v>
      </c>
      <c r="I114" s="144">
        <f t="shared" si="6"/>
        <v>143.384446</v>
      </c>
      <c r="J114" s="145"/>
    </row>
    <row r="115" spans="1:10">
      <c r="A115" s="11" t="s">
        <v>59</v>
      </c>
      <c r="B115" s="11" t="s">
        <v>783</v>
      </c>
      <c r="C115" s="143" t="s">
        <v>787</v>
      </c>
      <c r="D115" s="92">
        <v>212.1</v>
      </c>
      <c r="E115" s="11">
        <v>0.6</v>
      </c>
      <c r="F115" s="11">
        <v>1.1499999999999999</v>
      </c>
      <c r="G115" s="11">
        <v>1.03</v>
      </c>
      <c r="H115" s="11">
        <v>2.59</v>
      </c>
      <c r="I115" s="144">
        <f t="shared" si="6"/>
        <v>153.40717000000001</v>
      </c>
      <c r="J115" s="145"/>
    </row>
    <row r="116" spans="1:10">
      <c r="A116" s="11" t="s">
        <v>60</v>
      </c>
      <c r="B116" s="11" t="s">
        <v>784</v>
      </c>
      <c r="C116" s="143" t="s">
        <v>787</v>
      </c>
      <c r="D116" s="92">
        <v>226.12</v>
      </c>
      <c r="E116" s="11">
        <v>0.6</v>
      </c>
      <c r="F116" s="11">
        <v>1.1499999999999999</v>
      </c>
      <c r="G116" s="11">
        <v>1.03</v>
      </c>
      <c r="H116" s="11">
        <v>3.14</v>
      </c>
      <c r="I116" s="144">
        <f t="shared" si="6"/>
        <v>163.93768399999999</v>
      </c>
      <c r="J116" s="145"/>
    </row>
    <row r="117" spans="1:10">
      <c r="A117" s="11" t="s">
        <v>62</v>
      </c>
      <c r="B117" s="11" t="s">
        <v>785</v>
      </c>
      <c r="C117" s="143" t="s">
        <v>787</v>
      </c>
      <c r="D117" s="92">
        <v>254.89</v>
      </c>
      <c r="E117" s="11">
        <v>0.6</v>
      </c>
      <c r="F117" s="11">
        <v>1.1499999999999999</v>
      </c>
      <c r="G117" s="11">
        <v>1.03</v>
      </c>
      <c r="H117" s="11">
        <v>3.86</v>
      </c>
      <c r="I117" s="144">
        <f t="shared" si="6"/>
        <v>185.12612299999998</v>
      </c>
      <c r="J117" s="145"/>
    </row>
    <row r="118" spans="1:10">
      <c r="C118" s="136"/>
      <c r="D118" s="138"/>
      <c r="I118" s="133"/>
      <c r="J118" s="145"/>
    </row>
    <row r="119" spans="1:10">
      <c r="C119" s="136"/>
      <c r="D119" s="138"/>
      <c r="I119" s="133"/>
      <c r="J119" s="145"/>
    </row>
    <row r="120" spans="1:10">
      <c r="A120" s="28" t="s">
        <v>766</v>
      </c>
      <c r="B120" s="135" t="s">
        <v>796</v>
      </c>
      <c r="C120" s="136"/>
      <c r="D120" s="137" t="s">
        <v>768</v>
      </c>
      <c r="I120" s="138"/>
      <c r="J120" s="145"/>
    </row>
    <row r="121" spans="1:10">
      <c r="A121" s="148" t="s">
        <v>769</v>
      </c>
      <c r="B121" s="148"/>
      <c r="C121" s="149" t="s">
        <v>770</v>
      </c>
      <c r="D121" s="150" t="s">
        <v>771</v>
      </c>
      <c r="E121" s="148" t="s">
        <v>613</v>
      </c>
      <c r="F121" s="148" t="s">
        <v>772</v>
      </c>
      <c r="G121" s="148" t="s">
        <v>773</v>
      </c>
      <c r="H121" s="148" t="s">
        <v>774</v>
      </c>
      <c r="I121" s="151" t="s">
        <v>771</v>
      </c>
      <c r="J121" s="145"/>
    </row>
    <row r="122" spans="1:10">
      <c r="A122" s="11" t="s">
        <v>47</v>
      </c>
      <c r="B122" s="11" t="s">
        <v>776</v>
      </c>
      <c r="C122" s="143" t="s">
        <v>789</v>
      </c>
      <c r="D122" s="92">
        <v>52.57</v>
      </c>
      <c r="E122" s="11">
        <v>0.6</v>
      </c>
      <c r="F122" s="11">
        <v>1.1000000000000001</v>
      </c>
      <c r="G122" s="11">
        <v>1.03</v>
      </c>
      <c r="H122" s="11">
        <v>1.01</v>
      </c>
      <c r="I122" s="144">
        <f t="shared" ref="I122:I130" si="7">(((D122*E122)*F122)+H122)*G122</f>
        <v>36.777385999999993</v>
      </c>
      <c r="J122" s="145"/>
    </row>
    <row r="123" spans="1:10">
      <c r="A123" s="11" t="s">
        <v>49</v>
      </c>
      <c r="B123" s="11" t="s">
        <v>778</v>
      </c>
      <c r="C123" s="143" t="s">
        <v>789</v>
      </c>
      <c r="D123" s="92">
        <v>56.68</v>
      </c>
      <c r="E123" s="11">
        <v>0.6</v>
      </c>
      <c r="F123" s="11">
        <v>1.1000000000000001</v>
      </c>
      <c r="G123" s="11">
        <v>1.03</v>
      </c>
      <c r="H123" s="11">
        <v>1.01</v>
      </c>
      <c r="I123" s="144">
        <f t="shared" si="7"/>
        <v>39.571363999999996</v>
      </c>
      <c r="J123" s="145"/>
    </row>
    <row r="124" spans="1:10">
      <c r="A124" s="11" t="s">
        <v>51</v>
      </c>
      <c r="B124" s="11" t="s">
        <v>779</v>
      </c>
      <c r="C124" s="143" t="s">
        <v>789</v>
      </c>
      <c r="D124" s="92">
        <v>62.37</v>
      </c>
      <c r="E124" s="11">
        <v>0.6</v>
      </c>
      <c r="F124" s="11">
        <v>1.1000000000000001</v>
      </c>
      <c r="G124" s="11">
        <v>1.03</v>
      </c>
      <c r="H124" s="11">
        <v>1.4</v>
      </c>
      <c r="I124" s="144">
        <f t="shared" si="7"/>
        <v>43.841126000000003</v>
      </c>
      <c r="J124" s="145"/>
    </row>
    <row r="125" spans="1:10">
      <c r="A125" s="11" t="s">
        <v>53</v>
      </c>
      <c r="B125" s="11" t="s">
        <v>780</v>
      </c>
      <c r="C125" s="143" t="s">
        <v>789</v>
      </c>
      <c r="D125" s="92">
        <v>74.05</v>
      </c>
      <c r="E125" s="11">
        <v>0.6</v>
      </c>
      <c r="F125" s="11">
        <v>1.1000000000000001</v>
      </c>
      <c r="G125" s="11">
        <v>1.03</v>
      </c>
      <c r="H125" s="11">
        <v>1.4</v>
      </c>
      <c r="I125" s="144">
        <f t="shared" si="7"/>
        <v>51.781190000000002</v>
      </c>
      <c r="J125" s="145"/>
    </row>
    <row r="126" spans="1:10">
      <c r="A126" s="11" t="s">
        <v>55</v>
      </c>
      <c r="B126" s="11" t="s">
        <v>781</v>
      </c>
      <c r="C126" s="143" t="s">
        <v>789</v>
      </c>
      <c r="D126" s="92">
        <v>85.09</v>
      </c>
      <c r="E126" s="11">
        <v>0.6</v>
      </c>
      <c r="F126" s="11">
        <v>1.1000000000000001</v>
      </c>
      <c r="G126" s="11">
        <v>1.03</v>
      </c>
      <c r="H126" s="11">
        <v>1.69</v>
      </c>
      <c r="I126" s="144">
        <f t="shared" si="7"/>
        <v>59.584882000000007</v>
      </c>
      <c r="J126" s="145"/>
    </row>
    <row r="127" spans="1:10">
      <c r="A127" s="11" t="s">
        <v>57</v>
      </c>
      <c r="B127" s="11" t="s">
        <v>782</v>
      </c>
      <c r="C127" s="143" t="s">
        <v>789</v>
      </c>
      <c r="D127" s="92">
        <v>109.37</v>
      </c>
      <c r="E127" s="11">
        <v>0.6</v>
      </c>
      <c r="F127" s="11">
        <v>1.1499999999999999</v>
      </c>
      <c r="G127" s="11">
        <v>1.03</v>
      </c>
      <c r="H127" s="11">
        <v>2.0499999999999998</v>
      </c>
      <c r="I127" s="144">
        <f t="shared" si="7"/>
        <v>79.840758999999991</v>
      </c>
      <c r="J127" s="145"/>
    </row>
    <row r="128" spans="1:10">
      <c r="A128" s="11" t="s">
        <v>59</v>
      </c>
      <c r="B128" s="11" t="s">
        <v>783</v>
      </c>
      <c r="C128" s="143" t="s">
        <v>789</v>
      </c>
      <c r="D128" s="92">
        <v>140.44</v>
      </c>
      <c r="E128" s="11">
        <v>0.6</v>
      </c>
      <c r="F128" s="11">
        <v>1.1499999999999999</v>
      </c>
      <c r="G128" s="11">
        <v>1.03</v>
      </c>
      <c r="H128" s="11">
        <v>2.59</v>
      </c>
      <c r="I128" s="144">
        <f t="shared" si="7"/>
        <v>102.47840799999999</v>
      </c>
      <c r="J128" s="145"/>
    </row>
    <row r="129" spans="1:10">
      <c r="A129" s="11" t="s">
        <v>60</v>
      </c>
      <c r="B129" s="11" t="s">
        <v>784</v>
      </c>
      <c r="C129" s="143" t="s">
        <v>789</v>
      </c>
      <c r="D129" s="92">
        <v>146.44</v>
      </c>
      <c r="E129" s="11">
        <v>0.6</v>
      </c>
      <c r="F129" s="11">
        <v>1.1499999999999999</v>
      </c>
      <c r="G129" s="11">
        <v>1.03</v>
      </c>
      <c r="H129" s="11">
        <v>3.14</v>
      </c>
      <c r="I129" s="144">
        <f t="shared" si="7"/>
        <v>107.30910799999998</v>
      </c>
      <c r="J129" s="145"/>
    </row>
    <row r="130" spans="1:10">
      <c r="A130" s="11" t="s">
        <v>62</v>
      </c>
      <c r="B130" s="11" t="s">
        <v>785</v>
      </c>
      <c r="C130" s="143" t="s">
        <v>789</v>
      </c>
      <c r="D130" s="92">
        <v>191</v>
      </c>
      <c r="E130" s="11">
        <v>0.6</v>
      </c>
      <c r="F130" s="11">
        <v>1.1499999999999999</v>
      </c>
      <c r="G130" s="11">
        <v>1.03</v>
      </c>
      <c r="H130" s="11">
        <v>3.86</v>
      </c>
      <c r="I130" s="144">
        <f t="shared" si="7"/>
        <v>139.71950000000001</v>
      </c>
      <c r="J130" s="145"/>
    </row>
    <row r="131" spans="1:10">
      <c r="C131" s="136"/>
      <c r="D131" s="138"/>
      <c r="I131" s="133"/>
      <c r="J131" s="145"/>
    </row>
    <row r="132" spans="1:10">
      <c r="C132" s="136"/>
      <c r="D132" s="138"/>
      <c r="I132" s="133"/>
      <c r="J132" s="145"/>
    </row>
    <row r="133" spans="1:10">
      <c r="C133" s="136"/>
      <c r="D133" s="138"/>
      <c r="I133" s="133"/>
      <c r="J133" s="145"/>
    </row>
    <row r="134" spans="1:10">
      <c r="C134" s="136"/>
      <c r="D134" s="138"/>
      <c r="I134" s="133"/>
      <c r="J134" s="145"/>
    </row>
    <row r="135" spans="1:10">
      <c r="A135" s="152" t="s">
        <v>766</v>
      </c>
      <c r="B135" s="153" t="s">
        <v>796</v>
      </c>
      <c r="C135" s="143"/>
      <c r="D135" s="154" t="s">
        <v>768</v>
      </c>
      <c r="E135" s="11"/>
      <c r="F135" s="11"/>
      <c r="G135" s="11"/>
      <c r="H135" s="11"/>
      <c r="I135" s="92"/>
      <c r="J135" s="145"/>
    </row>
    <row r="136" spans="1:10">
      <c r="A136" s="148" t="s">
        <v>769</v>
      </c>
      <c r="B136" s="148"/>
      <c r="C136" s="149" t="s">
        <v>770</v>
      </c>
      <c r="D136" s="150" t="s">
        <v>771</v>
      </c>
      <c r="E136" s="148" t="s">
        <v>613</v>
      </c>
      <c r="F136" s="148" t="s">
        <v>772</v>
      </c>
      <c r="G136" s="148" t="s">
        <v>773</v>
      </c>
      <c r="H136" s="148" t="s">
        <v>774</v>
      </c>
      <c r="I136" s="151" t="s">
        <v>771</v>
      </c>
      <c r="J136" s="145"/>
    </row>
    <row r="137" spans="1:10">
      <c r="A137" s="11" t="s">
        <v>47</v>
      </c>
      <c r="B137" s="11" t="s">
        <v>776</v>
      </c>
      <c r="C137" s="143" t="s">
        <v>790</v>
      </c>
      <c r="D137" s="92">
        <v>46.26</v>
      </c>
      <c r="E137" s="11">
        <v>0.6</v>
      </c>
      <c r="F137" s="11">
        <v>1.1000000000000001</v>
      </c>
      <c r="G137" s="11">
        <v>1.03</v>
      </c>
      <c r="H137" s="11">
        <v>1.01</v>
      </c>
      <c r="I137" s="144">
        <f t="shared" ref="I137:I145" si="8">(((D137*E137)*F137)+H137)*G137</f>
        <v>32.487848</v>
      </c>
      <c r="J137" s="145"/>
    </row>
    <row r="138" spans="1:10">
      <c r="A138" s="11" t="s">
        <v>49</v>
      </c>
      <c r="B138" s="11" t="s">
        <v>778</v>
      </c>
      <c r="C138" s="143" t="s">
        <v>790</v>
      </c>
      <c r="D138" s="92">
        <v>47.9</v>
      </c>
      <c r="E138" s="11">
        <v>0.6</v>
      </c>
      <c r="F138" s="11">
        <v>1.1000000000000001</v>
      </c>
      <c r="G138" s="11">
        <v>1.03</v>
      </c>
      <c r="H138" s="11">
        <v>1.01</v>
      </c>
      <c r="I138" s="144">
        <f t="shared" si="8"/>
        <v>33.602720000000005</v>
      </c>
      <c r="J138" s="145"/>
    </row>
    <row r="139" spans="1:10">
      <c r="A139" s="11" t="s">
        <v>51</v>
      </c>
      <c r="B139" s="11" t="s">
        <v>779</v>
      </c>
      <c r="C139" s="143" t="s">
        <v>790</v>
      </c>
      <c r="D139" s="92">
        <v>53.69</v>
      </c>
      <c r="E139" s="11">
        <v>0.6</v>
      </c>
      <c r="F139" s="11">
        <v>1.1000000000000001</v>
      </c>
      <c r="G139" s="11">
        <v>1.03</v>
      </c>
      <c r="H139" s="11">
        <v>1.4</v>
      </c>
      <c r="I139" s="144">
        <f t="shared" si="8"/>
        <v>37.940462000000004</v>
      </c>
      <c r="J139" s="145"/>
    </row>
    <row r="140" spans="1:10">
      <c r="A140" s="11" t="s">
        <v>53</v>
      </c>
      <c r="B140" s="11" t="s">
        <v>780</v>
      </c>
      <c r="C140" s="143" t="s">
        <v>790</v>
      </c>
      <c r="D140" s="92">
        <v>57.34</v>
      </c>
      <c r="E140" s="11">
        <v>0.6</v>
      </c>
      <c r="F140" s="11">
        <v>1.1000000000000001</v>
      </c>
      <c r="G140" s="11">
        <v>1.03</v>
      </c>
      <c r="H140" s="11">
        <v>1.4</v>
      </c>
      <c r="I140" s="144">
        <f t="shared" si="8"/>
        <v>40.421732000000006</v>
      </c>
      <c r="J140" s="145"/>
    </row>
    <row r="141" spans="1:10">
      <c r="A141" s="11" t="s">
        <v>55</v>
      </c>
      <c r="B141" s="11" t="s">
        <v>781</v>
      </c>
      <c r="C141" s="143" t="s">
        <v>790</v>
      </c>
      <c r="D141" s="92">
        <v>67.17</v>
      </c>
      <c r="E141" s="11">
        <v>0.6</v>
      </c>
      <c r="F141" s="11">
        <v>1.1000000000000001</v>
      </c>
      <c r="G141" s="11">
        <v>1.03</v>
      </c>
      <c r="H141" s="11">
        <v>1.69</v>
      </c>
      <c r="I141" s="144">
        <f t="shared" si="8"/>
        <v>47.402865999999996</v>
      </c>
      <c r="J141" s="145"/>
    </row>
    <row r="142" spans="1:10">
      <c r="A142" s="11" t="s">
        <v>57</v>
      </c>
      <c r="B142" s="11" t="s">
        <v>782</v>
      </c>
      <c r="C142" s="143" t="s">
        <v>790</v>
      </c>
      <c r="D142" s="92">
        <v>86.11</v>
      </c>
      <c r="E142" s="11">
        <v>0.6</v>
      </c>
      <c r="F142" s="11">
        <v>1.1499999999999999</v>
      </c>
      <c r="G142" s="11">
        <v>1.03</v>
      </c>
      <c r="H142" s="11">
        <v>2.0499999999999998</v>
      </c>
      <c r="I142" s="144">
        <f t="shared" si="8"/>
        <v>63.309876999999993</v>
      </c>
      <c r="J142" s="145"/>
    </row>
    <row r="143" spans="1:10">
      <c r="A143" s="11" t="s">
        <v>59</v>
      </c>
      <c r="B143" s="11" t="s">
        <v>783</v>
      </c>
      <c r="C143" s="143" t="s">
        <v>790</v>
      </c>
      <c r="D143" s="92">
        <v>100.38</v>
      </c>
      <c r="E143" s="11">
        <v>0.6</v>
      </c>
      <c r="F143" s="11">
        <v>1.1499999999999999</v>
      </c>
      <c r="G143" s="11">
        <v>1.03</v>
      </c>
      <c r="H143" s="11">
        <v>2.59</v>
      </c>
      <c r="I143" s="144">
        <f t="shared" si="8"/>
        <v>74.007766000000004</v>
      </c>
      <c r="J143" s="145"/>
    </row>
    <row r="144" spans="1:10">
      <c r="A144" s="11" t="s">
        <v>60</v>
      </c>
      <c r="B144" s="11" t="s">
        <v>784</v>
      </c>
      <c r="C144" s="143" t="s">
        <v>790</v>
      </c>
      <c r="D144" s="92">
        <v>107.15</v>
      </c>
      <c r="E144" s="11">
        <v>0.6</v>
      </c>
      <c r="F144" s="11">
        <v>1.1499999999999999</v>
      </c>
      <c r="G144" s="11">
        <v>1.03</v>
      </c>
      <c r="H144" s="11">
        <v>3.14</v>
      </c>
      <c r="I144" s="144">
        <f t="shared" si="8"/>
        <v>79.385705000000002</v>
      </c>
      <c r="J144" s="145"/>
    </row>
    <row r="145" spans="1:10">
      <c r="A145" s="11" t="s">
        <v>62</v>
      </c>
      <c r="B145" s="11" t="s">
        <v>785</v>
      </c>
      <c r="C145" s="143" t="s">
        <v>790</v>
      </c>
      <c r="D145" s="92"/>
      <c r="E145" s="11">
        <v>0.6</v>
      </c>
      <c r="F145" s="11">
        <v>1.1499999999999999</v>
      </c>
      <c r="G145" s="11">
        <v>1.03</v>
      </c>
      <c r="H145" s="11">
        <v>3.86</v>
      </c>
      <c r="I145" s="144">
        <f t="shared" si="8"/>
        <v>3.9758</v>
      </c>
      <c r="J145" s="145"/>
    </row>
    <row r="146" spans="1:10">
      <c r="C146" s="136"/>
      <c r="D146" s="138"/>
      <c r="I146" s="133"/>
      <c r="J146" s="145"/>
    </row>
    <row r="147" spans="1:10">
      <c r="C147" s="136"/>
      <c r="D147" s="138"/>
      <c r="I147" s="133"/>
      <c r="J147" s="145"/>
    </row>
    <row r="148" spans="1:10">
      <c r="C148" s="136"/>
      <c r="D148" s="138"/>
      <c r="I148" s="133"/>
      <c r="J148" s="145"/>
    </row>
    <row r="149" spans="1:10">
      <c r="A149" s="28" t="s">
        <v>766</v>
      </c>
      <c r="B149" s="135" t="s">
        <v>797</v>
      </c>
      <c r="C149" s="134" t="s">
        <v>798</v>
      </c>
      <c r="D149" s="137" t="s">
        <v>768</v>
      </c>
      <c r="I149" s="138"/>
      <c r="J149" s="136"/>
    </row>
    <row r="150" spans="1:10">
      <c r="A150" s="155" t="s">
        <v>769</v>
      </c>
      <c r="B150" s="155"/>
      <c r="C150" s="156" t="s">
        <v>770</v>
      </c>
      <c r="D150" s="157" t="s">
        <v>771</v>
      </c>
      <c r="E150" s="155" t="s">
        <v>613</v>
      </c>
      <c r="F150" s="155" t="s">
        <v>772</v>
      </c>
      <c r="G150" s="155" t="s">
        <v>773</v>
      </c>
      <c r="H150" s="155" t="s">
        <v>774</v>
      </c>
      <c r="I150" s="158" t="s">
        <v>771</v>
      </c>
      <c r="J150" s="136" t="s">
        <v>775</v>
      </c>
    </row>
    <row r="151" spans="1:10">
      <c r="A151" s="11" t="s">
        <v>47</v>
      </c>
      <c r="B151" s="11" t="s">
        <v>776</v>
      </c>
      <c r="C151" s="143" t="s">
        <v>777</v>
      </c>
      <c r="D151" s="92">
        <v>63.06</v>
      </c>
      <c r="E151" s="11">
        <v>0.6</v>
      </c>
      <c r="F151" s="11">
        <v>1.1000000000000001</v>
      </c>
      <c r="G151" s="11">
        <v>1.03</v>
      </c>
      <c r="H151" s="11">
        <v>1.01</v>
      </c>
      <c r="I151" s="144">
        <f t="shared" ref="I151:I159" si="9">(((D151*E151)*F151)+H151)*G151</f>
        <v>43.908487999999998</v>
      </c>
      <c r="J151" s="136">
        <v>23</v>
      </c>
    </row>
    <row r="152" spans="1:10">
      <c r="A152" s="11" t="s">
        <v>49</v>
      </c>
      <c r="B152" s="11" t="s">
        <v>778</v>
      </c>
      <c r="C152" s="143" t="s">
        <v>777</v>
      </c>
      <c r="D152" s="92">
        <v>70.62</v>
      </c>
      <c r="E152" s="11">
        <v>0.6</v>
      </c>
      <c r="F152" s="11">
        <v>1.1000000000000001</v>
      </c>
      <c r="G152" s="11">
        <v>1.03</v>
      </c>
      <c r="H152" s="11">
        <v>1.01</v>
      </c>
      <c r="I152" s="144">
        <f t="shared" si="9"/>
        <v>49.047775999999999</v>
      </c>
      <c r="J152" s="136">
        <v>23</v>
      </c>
    </row>
    <row r="153" spans="1:10">
      <c r="A153" s="11" t="s">
        <v>51</v>
      </c>
      <c r="B153" s="11" t="s">
        <v>779</v>
      </c>
      <c r="C153" s="143" t="s">
        <v>777</v>
      </c>
      <c r="D153" s="92">
        <v>83.96</v>
      </c>
      <c r="E153" s="11">
        <v>0.6</v>
      </c>
      <c r="F153" s="11">
        <v>1.1000000000000001</v>
      </c>
      <c r="G153" s="11">
        <v>1.03</v>
      </c>
      <c r="H153" s="11">
        <v>1.4</v>
      </c>
      <c r="I153" s="144">
        <f t="shared" si="9"/>
        <v>58.518008000000002</v>
      </c>
      <c r="J153" s="136">
        <v>25</v>
      </c>
    </row>
    <row r="154" spans="1:10">
      <c r="A154" s="11" t="s">
        <v>53</v>
      </c>
      <c r="B154" s="11" t="s">
        <v>780</v>
      </c>
      <c r="C154" s="143" t="s">
        <v>777</v>
      </c>
      <c r="D154" s="92">
        <v>98.72</v>
      </c>
      <c r="E154" s="11">
        <v>0.6</v>
      </c>
      <c r="F154" s="11">
        <v>1.1000000000000001</v>
      </c>
      <c r="G154" s="11">
        <v>1.03</v>
      </c>
      <c r="H154" s="11">
        <v>1.4</v>
      </c>
      <c r="I154" s="144">
        <f t="shared" si="9"/>
        <v>68.551856000000015</v>
      </c>
      <c r="J154" s="136">
        <v>25</v>
      </c>
    </row>
    <row r="155" spans="1:10">
      <c r="A155" s="11" t="s">
        <v>55</v>
      </c>
      <c r="B155" s="11" t="s">
        <v>781</v>
      </c>
      <c r="C155" s="143" t="s">
        <v>777</v>
      </c>
      <c r="D155" s="92">
        <v>121.95</v>
      </c>
      <c r="E155" s="11">
        <v>0.6</v>
      </c>
      <c r="F155" s="11">
        <v>1.1000000000000001</v>
      </c>
      <c r="G155" s="11">
        <v>1.03</v>
      </c>
      <c r="H155" s="11">
        <v>1.69</v>
      </c>
      <c r="I155" s="144">
        <f t="shared" si="9"/>
        <v>84.642310000000009</v>
      </c>
      <c r="J155" s="136">
        <v>25</v>
      </c>
    </row>
    <row r="156" spans="1:10">
      <c r="A156" s="11" t="s">
        <v>57</v>
      </c>
      <c r="B156" s="11" t="s">
        <v>782</v>
      </c>
      <c r="C156" s="143" t="s">
        <v>777</v>
      </c>
      <c r="D156" s="92">
        <v>144.31</v>
      </c>
      <c r="E156" s="11">
        <v>0.6</v>
      </c>
      <c r="F156" s="11">
        <v>1.1499999999999999</v>
      </c>
      <c r="G156" s="11">
        <v>1.03</v>
      </c>
      <c r="H156" s="11">
        <v>2.0499999999999998</v>
      </c>
      <c r="I156" s="144">
        <f t="shared" si="9"/>
        <v>104.67261699999999</v>
      </c>
      <c r="J156" s="136">
        <v>25</v>
      </c>
    </row>
    <row r="157" spans="1:10">
      <c r="A157" s="11" t="s">
        <v>59</v>
      </c>
      <c r="B157" s="11" t="s">
        <v>783</v>
      </c>
      <c r="C157" s="143" t="s">
        <v>777</v>
      </c>
      <c r="D157" s="92">
        <v>171.23</v>
      </c>
      <c r="E157" s="11">
        <v>0.6</v>
      </c>
      <c r="F157" s="11">
        <v>1.1499999999999999</v>
      </c>
      <c r="G157" s="11">
        <v>1.03</v>
      </c>
      <c r="H157" s="11">
        <v>2.59</v>
      </c>
      <c r="I157" s="144">
        <f t="shared" si="9"/>
        <v>124.36086099999999</v>
      </c>
      <c r="J157" s="136">
        <v>25</v>
      </c>
    </row>
    <row r="158" spans="1:10">
      <c r="A158" s="11" t="s">
        <v>60</v>
      </c>
      <c r="B158" s="11" t="s">
        <v>784</v>
      </c>
      <c r="C158" s="143" t="s">
        <v>777</v>
      </c>
      <c r="D158" s="92">
        <v>186.78</v>
      </c>
      <c r="E158" s="11">
        <v>0.6</v>
      </c>
      <c r="F158" s="11">
        <v>1.1499999999999999</v>
      </c>
      <c r="G158" s="11">
        <v>1.03</v>
      </c>
      <c r="H158" s="11">
        <v>3.14</v>
      </c>
      <c r="I158" s="144">
        <f t="shared" si="9"/>
        <v>135.97874599999997</v>
      </c>
      <c r="J158" s="136">
        <v>30</v>
      </c>
    </row>
    <row r="159" spans="1:10">
      <c r="A159" s="11" t="s">
        <v>62</v>
      </c>
      <c r="B159" s="11" t="s">
        <v>785</v>
      </c>
      <c r="C159" s="143" t="s">
        <v>777</v>
      </c>
      <c r="D159" s="92">
        <v>264.83</v>
      </c>
      <c r="E159" s="11">
        <v>0.6</v>
      </c>
      <c r="F159" s="11">
        <v>1.1499999999999999</v>
      </c>
      <c r="G159" s="11">
        <v>1.03</v>
      </c>
      <c r="H159" s="11">
        <v>3.86</v>
      </c>
      <c r="I159" s="144">
        <f t="shared" si="9"/>
        <v>192.19048100000001</v>
      </c>
      <c r="J159" s="145">
        <v>30</v>
      </c>
    </row>
    <row r="160" spans="1:10">
      <c r="C160" s="136"/>
      <c r="D160" s="138"/>
      <c r="I160" s="138"/>
      <c r="J160" s="136"/>
    </row>
    <row r="161" spans="1:10">
      <c r="A161" s="28" t="s">
        <v>766</v>
      </c>
      <c r="B161" s="135" t="s">
        <v>797</v>
      </c>
      <c r="C161" s="134" t="s">
        <v>798</v>
      </c>
      <c r="D161" s="137" t="s">
        <v>768</v>
      </c>
      <c r="I161" s="138"/>
      <c r="J161" s="136"/>
    </row>
    <row r="162" spans="1:10">
      <c r="A162" s="155" t="s">
        <v>769</v>
      </c>
      <c r="B162" s="155"/>
      <c r="C162" s="156" t="s">
        <v>770</v>
      </c>
      <c r="D162" s="157" t="s">
        <v>771</v>
      </c>
      <c r="E162" s="155" t="s">
        <v>613</v>
      </c>
      <c r="F162" s="155" t="s">
        <v>772</v>
      </c>
      <c r="G162" s="155" t="s">
        <v>773</v>
      </c>
      <c r="H162" s="155" t="s">
        <v>774</v>
      </c>
      <c r="I162" s="158" t="s">
        <v>771</v>
      </c>
      <c r="J162" s="136" t="s">
        <v>775</v>
      </c>
    </row>
    <row r="163" spans="1:10">
      <c r="A163" s="11" t="s">
        <v>47</v>
      </c>
      <c r="B163" s="11" t="s">
        <v>776</v>
      </c>
      <c r="C163" s="143" t="s">
        <v>787</v>
      </c>
      <c r="D163" s="92">
        <v>37.78</v>
      </c>
      <c r="E163" s="11">
        <v>0.6</v>
      </c>
      <c r="F163" s="11">
        <v>1.1000000000000001</v>
      </c>
      <c r="G163" s="11">
        <v>1.03</v>
      </c>
      <c r="H163" s="11">
        <v>1.01</v>
      </c>
      <c r="I163" s="144">
        <f t="shared" ref="I163:I171" si="10">(((D163*E163)*F163)+H163)*G163</f>
        <v>26.723144000000005</v>
      </c>
      <c r="J163" s="136">
        <v>23</v>
      </c>
    </row>
    <row r="164" spans="1:10">
      <c r="A164" s="11" t="s">
        <v>49</v>
      </c>
      <c r="B164" s="11" t="s">
        <v>778</v>
      </c>
      <c r="C164" s="143" t="s">
        <v>787</v>
      </c>
      <c r="D164" s="92">
        <v>42.26</v>
      </c>
      <c r="E164" s="11">
        <v>0.6</v>
      </c>
      <c r="F164" s="11">
        <v>1.1000000000000001</v>
      </c>
      <c r="G164" s="11">
        <v>1.03</v>
      </c>
      <c r="H164" s="11">
        <v>1.01</v>
      </c>
      <c r="I164" s="144">
        <f t="shared" si="10"/>
        <v>29.768648000000002</v>
      </c>
      <c r="J164" s="136">
        <v>23</v>
      </c>
    </row>
    <row r="165" spans="1:10">
      <c r="A165" s="11" t="s">
        <v>51</v>
      </c>
      <c r="B165" s="11" t="s">
        <v>779</v>
      </c>
      <c r="C165" s="143" t="s">
        <v>787</v>
      </c>
      <c r="D165" s="92">
        <v>50.23</v>
      </c>
      <c r="E165" s="11">
        <v>0.6</v>
      </c>
      <c r="F165" s="11">
        <v>1.1000000000000001</v>
      </c>
      <c r="G165" s="11">
        <v>1.03</v>
      </c>
      <c r="H165" s="11">
        <v>1.4</v>
      </c>
      <c r="I165" s="144">
        <f t="shared" si="10"/>
        <v>35.588354000000002</v>
      </c>
      <c r="J165" s="136">
        <v>25</v>
      </c>
    </row>
    <row r="166" spans="1:10">
      <c r="A166" s="11" t="s">
        <v>53</v>
      </c>
      <c r="B166" s="11" t="s">
        <v>780</v>
      </c>
      <c r="C166" s="143" t="s">
        <v>787</v>
      </c>
      <c r="D166" s="92">
        <v>62.45</v>
      </c>
      <c r="E166" s="11">
        <v>0.6</v>
      </c>
      <c r="F166" s="11">
        <v>1.1000000000000001</v>
      </c>
      <c r="G166" s="11">
        <v>1.03</v>
      </c>
      <c r="H166" s="11">
        <v>1.4</v>
      </c>
      <c r="I166" s="144">
        <f t="shared" si="10"/>
        <v>43.895510000000002</v>
      </c>
      <c r="J166" s="136">
        <v>25</v>
      </c>
    </row>
    <row r="167" spans="1:10">
      <c r="A167" s="11" t="s">
        <v>55</v>
      </c>
      <c r="B167" s="11" t="s">
        <v>781</v>
      </c>
      <c r="C167" s="143" t="s">
        <v>787</v>
      </c>
      <c r="D167" s="92">
        <v>74.069999999999993</v>
      </c>
      <c r="E167" s="11">
        <v>0.6</v>
      </c>
      <c r="F167" s="11">
        <v>1.1000000000000001</v>
      </c>
      <c r="G167" s="11">
        <v>1.03</v>
      </c>
      <c r="H167" s="11">
        <v>1.69</v>
      </c>
      <c r="I167" s="144">
        <f t="shared" si="10"/>
        <v>52.093485999999992</v>
      </c>
      <c r="J167" s="136">
        <v>25</v>
      </c>
    </row>
    <row r="168" spans="1:10">
      <c r="A168" s="11" t="s">
        <v>57</v>
      </c>
      <c r="B168" s="11" t="s">
        <v>782</v>
      </c>
      <c r="C168" s="143" t="s">
        <v>787</v>
      </c>
      <c r="D168" s="92">
        <v>87.34</v>
      </c>
      <c r="E168" s="11">
        <v>0.6</v>
      </c>
      <c r="F168" s="11">
        <v>1.1499999999999999</v>
      </c>
      <c r="G168" s="11">
        <v>1.03</v>
      </c>
      <c r="H168" s="11">
        <v>2.0499999999999998</v>
      </c>
      <c r="I168" s="144">
        <f t="shared" si="10"/>
        <v>64.184038000000001</v>
      </c>
      <c r="J168" s="136">
        <v>25</v>
      </c>
    </row>
    <row r="169" spans="1:10">
      <c r="A169" s="11" t="s">
        <v>59</v>
      </c>
      <c r="B169" s="11" t="s">
        <v>783</v>
      </c>
      <c r="C169" s="143" t="s">
        <v>787</v>
      </c>
      <c r="D169" s="92">
        <v>101.91</v>
      </c>
      <c r="E169" s="11">
        <v>0.6</v>
      </c>
      <c r="F169" s="11">
        <v>1.1499999999999999</v>
      </c>
      <c r="G169" s="11">
        <v>1.03</v>
      </c>
      <c r="H169" s="11">
        <v>2.59</v>
      </c>
      <c r="I169" s="144">
        <f t="shared" si="10"/>
        <v>75.09513699999998</v>
      </c>
      <c r="J169" s="136">
        <v>25</v>
      </c>
    </row>
    <row r="170" spans="1:10">
      <c r="A170" s="11" t="s">
        <v>60</v>
      </c>
      <c r="B170" s="11" t="s">
        <v>784</v>
      </c>
      <c r="C170" s="143" t="s">
        <v>787</v>
      </c>
      <c r="D170" s="92">
        <v>112.34</v>
      </c>
      <c r="E170" s="11">
        <v>0.6</v>
      </c>
      <c r="F170" s="11">
        <v>1.1499999999999999</v>
      </c>
      <c r="G170" s="11">
        <v>1.03</v>
      </c>
      <c r="H170" s="11">
        <v>3.14</v>
      </c>
      <c r="I170" s="144">
        <f t="shared" si="10"/>
        <v>83.074237999999994</v>
      </c>
      <c r="J170" s="136">
        <v>30</v>
      </c>
    </row>
    <row r="171" spans="1:10">
      <c r="A171" s="11" t="s">
        <v>62</v>
      </c>
      <c r="B171" s="11" t="s">
        <v>785</v>
      </c>
      <c r="C171" s="143" t="s">
        <v>787</v>
      </c>
      <c r="D171" s="92">
        <v>157.4</v>
      </c>
      <c r="E171" s="11">
        <v>0.6</v>
      </c>
      <c r="F171" s="11">
        <v>1.1499999999999999</v>
      </c>
      <c r="G171" s="11">
        <v>1.03</v>
      </c>
      <c r="H171" s="11">
        <v>3.86</v>
      </c>
      <c r="I171" s="144">
        <f t="shared" si="10"/>
        <v>115.83998</v>
      </c>
      <c r="J171" s="145">
        <v>30</v>
      </c>
    </row>
    <row r="172" spans="1:10">
      <c r="C172" s="136"/>
      <c r="D172" s="138"/>
      <c r="I172" s="133"/>
      <c r="J172" s="145"/>
    </row>
    <row r="173" spans="1:10">
      <c r="C173" s="136"/>
      <c r="D173" s="138"/>
      <c r="I173" s="133"/>
      <c r="J173" s="145"/>
    </row>
    <row r="174" spans="1:10">
      <c r="C174" s="136"/>
      <c r="D174" s="138"/>
      <c r="I174" s="133"/>
      <c r="J174" s="145"/>
    </row>
    <row r="175" spans="1:10">
      <c r="A175" s="28" t="s">
        <v>766</v>
      </c>
      <c r="B175" s="135" t="s">
        <v>797</v>
      </c>
      <c r="C175" s="134" t="s">
        <v>798</v>
      </c>
      <c r="D175" s="137" t="s">
        <v>768</v>
      </c>
      <c r="I175" s="138"/>
      <c r="J175" s="136"/>
    </row>
    <row r="176" spans="1:10">
      <c r="A176" s="155" t="s">
        <v>769</v>
      </c>
      <c r="B176" s="155"/>
      <c r="C176" s="156" t="s">
        <v>770</v>
      </c>
      <c r="D176" s="157" t="s">
        <v>771</v>
      </c>
      <c r="E176" s="155" t="s">
        <v>613</v>
      </c>
      <c r="F176" s="155" t="s">
        <v>772</v>
      </c>
      <c r="G176" s="155" t="s">
        <v>773</v>
      </c>
      <c r="H176" s="155" t="s">
        <v>774</v>
      </c>
      <c r="I176" s="158" t="s">
        <v>771</v>
      </c>
      <c r="J176" s="136" t="s">
        <v>775</v>
      </c>
    </row>
    <row r="177" spans="1:10">
      <c r="A177" s="11" t="s">
        <v>47</v>
      </c>
      <c r="B177" s="11" t="s">
        <v>776</v>
      </c>
      <c r="C177" s="143" t="s">
        <v>789</v>
      </c>
      <c r="D177" s="92">
        <v>21.22</v>
      </c>
      <c r="E177" s="11">
        <v>0.6</v>
      </c>
      <c r="F177" s="11">
        <v>1.1000000000000001</v>
      </c>
      <c r="G177" s="11">
        <v>1.03</v>
      </c>
      <c r="H177" s="11">
        <v>1.01</v>
      </c>
      <c r="I177" s="144">
        <f t="shared" ref="I177:I185" si="11">(((D177*E177)*F177)+H177)*G177</f>
        <v>15.465656000000001</v>
      </c>
      <c r="J177" s="136">
        <v>23</v>
      </c>
    </row>
    <row r="178" spans="1:10">
      <c r="A178" s="11" t="s">
        <v>49</v>
      </c>
      <c r="B178" s="11" t="s">
        <v>778</v>
      </c>
      <c r="C178" s="143" t="s">
        <v>789</v>
      </c>
      <c r="D178" s="92">
        <v>24.2</v>
      </c>
      <c r="E178" s="11">
        <v>0.6</v>
      </c>
      <c r="F178" s="11">
        <v>1.1000000000000001</v>
      </c>
      <c r="G178" s="11">
        <v>1.03</v>
      </c>
      <c r="H178" s="11">
        <v>1.01</v>
      </c>
      <c r="I178" s="144">
        <f t="shared" si="11"/>
        <v>17.491460000000004</v>
      </c>
      <c r="J178" s="136">
        <v>23</v>
      </c>
    </row>
    <row r="179" spans="1:10">
      <c r="A179" s="11" t="s">
        <v>51</v>
      </c>
      <c r="B179" s="11" t="s">
        <v>779</v>
      </c>
      <c r="C179" s="143" t="s">
        <v>789</v>
      </c>
      <c r="D179" s="92">
        <v>28.18</v>
      </c>
      <c r="E179" s="11">
        <v>0.6</v>
      </c>
      <c r="F179" s="11">
        <v>1.1000000000000001</v>
      </c>
      <c r="G179" s="11">
        <v>1.03</v>
      </c>
      <c r="H179" s="11">
        <v>1.4</v>
      </c>
      <c r="I179" s="144">
        <f t="shared" si="11"/>
        <v>20.598763999999999</v>
      </c>
      <c r="J179" s="136">
        <v>25</v>
      </c>
    </row>
    <row r="180" spans="1:10">
      <c r="A180" s="11" t="s">
        <v>53</v>
      </c>
      <c r="B180" s="11" t="s">
        <v>780</v>
      </c>
      <c r="C180" s="143" t="s">
        <v>789</v>
      </c>
      <c r="D180" s="92">
        <v>33.78</v>
      </c>
      <c r="E180" s="11">
        <v>0.6</v>
      </c>
      <c r="F180" s="11">
        <v>1.1000000000000001</v>
      </c>
      <c r="G180" s="11">
        <v>1.03</v>
      </c>
      <c r="H180" s="11">
        <v>1.4</v>
      </c>
      <c r="I180" s="144">
        <f t="shared" si="11"/>
        <v>24.405644000000002</v>
      </c>
      <c r="J180" s="136">
        <v>25</v>
      </c>
    </row>
    <row r="181" spans="1:10">
      <c r="A181" s="11" t="s">
        <v>55</v>
      </c>
      <c r="B181" s="11" t="s">
        <v>781</v>
      </c>
      <c r="C181" s="143" t="s">
        <v>789</v>
      </c>
      <c r="D181" s="92">
        <v>42.55</v>
      </c>
      <c r="E181" s="11">
        <v>0.6</v>
      </c>
      <c r="F181" s="11">
        <v>1.1000000000000001</v>
      </c>
      <c r="G181" s="11">
        <v>1.03</v>
      </c>
      <c r="H181" s="11">
        <v>1.69</v>
      </c>
      <c r="I181" s="144">
        <f t="shared" si="11"/>
        <v>30.66619</v>
      </c>
      <c r="J181" s="136">
        <v>25</v>
      </c>
    </row>
    <row r="182" spans="1:10">
      <c r="A182" s="11" t="s">
        <v>57</v>
      </c>
      <c r="B182" s="11" t="s">
        <v>782</v>
      </c>
      <c r="C182" s="143" t="s">
        <v>789</v>
      </c>
      <c r="D182" s="92">
        <v>50.4</v>
      </c>
      <c r="E182" s="11">
        <v>0.6</v>
      </c>
      <c r="F182" s="11">
        <v>1.1499999999999999</v>
      </c>
      <c r="G182" s="11">
        <v>1.03</v>
      </c>
      <c r="H182" s="11">
        <v>2.0499999999999998</v>
      </c>
      <c r="I182" s="144">
        <f t="shared" si="11"/>
        <v>37.930779999999992</v>
      </c>
      <c r="J182" s="136">
        <v>25</v>
      </c>
    </row>
    <row r="183" spans="1:10">
      <c r="A183" s="11" t="s">
        <v>59</v>
      </c>
      <c r="B183" s="11" t="s">
        <v>783</v>
      </c>
      <c r="C183" s="143" t="s">
        <v>789</v>
      </c>
      <c r="D183" s="92">
        <v>57.33</v>
      </c>
      <c r="E183" s="11">
        <v>0.6</v>
      </c>
      <c r="F183" s="11">
        <v>1.1499999999999999</v>
      </c>
      <c r="G183" s="11">
        <v>1.03</v>
      </c>
      <c r="H183" s="11">
        <v>2.59</v>
      </c>
      <c r="I183" s="144">
        <f t="shared" si="11"/>
        <v>43.412130999999988</v>
      </c>
      <c r="J183" s="136">
        <v>25</v>
      </c>
    </row>
    <row r="184" spans="1:10">
      <c r="A184" s="11" t="s">
        <v>60</v>
      </c>
      <c r="B184" s="11" t="s">
        <v>784</v>
      </c>
      <c r="C184" s="143" t="s">
        <v>789</v>
      </c>
      <c r="D184" s="92">
        <v>68.599999999999994</v>
      </c>
      <c r="E184" s="11">
        <v>0.6</v>
      </c>
      <c r="F184" s="11">
        <v>1.1499999999999999</v>
      </c>
      <c r="G184" s="11">
        <v>1.03</v>
      </c>
      <c r="H184" s="11">
        <v>3.14</v>
      </c>
      <c r="I184" s="144">
        <f t="shared" si="11"/>
        <v>51.988219999999991</v>
      </c>
      <c r="J184" s="136">
        <v>30</v>
      </c>
    </row>
    <row r="185" spans="1:10">
      <c r="A185" s="11" t="s">
        <v>62</v>
      </c>
      <c r="B185" s="11" t="s">
        <v>785</v>
      </c>
      <c r="C185" s="143" t="s">
        <v>789</v>
      </c>
      <c r="D185" s="92">
        <v>117.11</v>
      </c>
      <c r="E185" s="11">
        <v>0.6</v>
      </c>
      <c r="F185" s="11">
        <v>1.1499999999999999</v>
      </c>
      <c r="G185" s="11">
        <v>1.03</v>
      </c>
      <c r="H185" s="11">
        <v>3.86</v>
      </c>
      <c r="I185" s="144">
        <f t="shared" si="11"/>
        <v>87.205876999999987</v>
      </c>
      <c r="J185" s="145">
        <v>30</v>
      </c>
    </row>
    <row r="186" spans="1:10">
      <c r="C186" s="136"/>
      <c r="D186" s="138"/>
      <c r="I186" s="133"/>
      <c r="J186" s="145"/>
    </row>
    <row r="187" spans="1:10">
      <c r="C187" s="136"/>
      <c r="D187" s="138"/>
      <c r="I187" s="133"/>
      <c r="J187" s="145"/>
    </row>
    <row r="188" spans="1:10">
      <c r="A188" s="28" t="s">
        <v>766</v>
      </c>
      <c r="B188" s="135" t="s">
        <v>797</v>
      </c>
      <c r="C188" s="134" t="s">
        <v>798</v>
      </c>
      <c r="D188" s="137" t="s">
        <v>768</v>
      </c>
      <c r="I188" s="138"/>
      <c r="J188" s="136"/>
    </row>
    <row r="189" spans="1:10">
      <c r="A189" s="155" t="s">
        <v>769</v>
      </c>
      <c r="B189" s="155"/>
      <c r="C189" s="156" t="s">
        <v>770</v>
      </c>
      <c r="D189" s="157" t="s">
        <v>771</v>
      </c>
      <c r="E189" s="155" t="s">
        <v>613</v>
      </c>
      <c r="F189" s="155" t="s">
        <v>772</v>
      </c>
      <c r="G189" s="155" t="s">
        <v>773</v>
      </c>
      <c r="H189" s="155" t="s">
        <v>774</v>
      </c>
      <c r="I189" s="158" t="s">
        <v>771</v>
      </c>
      <c r="J189" s="136" t="s">
        <v>775</v>
      </c>
    </row>
    <row r="190" spans="1:10">
      <c r="A190" s="11" t="s">
        <v>47</v>
      </c>
      <c r="B190" s="11" t="s">
        <v>776</v>
      </c>
      <c r="C190" s="143" t="s">
        <v>790</v>
      </c>
      <c r="D190" s="92">
        <v>18.649999999999999</v>
      </c>
      <c r="E190" s="11">
        <v>0.6</v>
      </c>
      <c r="F190" s="11">
        <v>1.1000000000000001</v>
      </c>
      <c r="G190" s="11">
        <v>1.03</v>
      </c>
      <c r="H190" s="11">
        <v>1.01</v>
      </c>
      <c r="I190" s="144">
        <f t="shared" ref="I190:I198" si="12">(((D190*E190)*F190)+H190)*G190</f>
        <v>13.718570000000001</v>
      </c>
      <c r="J190" s="136">
        <v>23</v>
      </c>
    </row>
    <row r="191" spans="1:10">
      <c r="A191" s="11" t="s">
        <v>49</v>
      </c>
      <c r="B191" s="11" t="s">
        <v>778</v>
      </c>
      <c r="C191" s="143" t="s">
        <v>790</v>
      </c>
      <c r="D191" s="92">
        <v>20.68</v>
      </c>
      <c r="E191" s="11">
        <v>0.6</v>
      </c>
      <c r="F191" s="11">
        <v>1.1000000000000001</v>
      </c>
      <c r="G191" s="11">
        <v>1.03</v>
      </c>
      <c r="H191" s="11">
        <v>1.01</v>
      </c>
      <c r="I191" s="144">
        <f t="shared" si="12"/>
        <v>15.098564000000001</v>
      </c>
      <c r="J191" s="136">
        <v>23</v>
      </c>
    </row>
    <row r="192" spans="1:10">
      <c r="A192" s="11" t="s">
        <v>51</v>
      </c>
      <c r="B192" s="11" t="s">
        <v>779</v>
      </c>
      <c r="C192" s="143" t="s">
        <v>790</v>
      </c>
      <c r="D192" s="92">
        <v>21.65</v>
      </c>
      <c r="E192" s="11">
        <v>0.6</v>
      </c>
      <c r="F192" s="11">
        <v>1.1000000000000001</v>
      </c>
      <c r="G192" s="11">
        <v>1.03</v>
      </c>
      <c r="H192" s="11">
        <v>1.4</v>
      </c>
      <c r="I192" s="144">
        <f t="shared" si="12"/>
        <v>16.159670000000002</v>
      </c>
      <c r="J192" s="136">
        <v>25</v>
      </c>
    </row>
    <row r="193" spans="1:10">
      <c r="A193" s="11" t="s">
        <v>53</v>
      </c>
      <c r="B193" s="11" t="s">
        <v>780</v>
      </c>
      <c r="C193" s="143" t="s">
        <v>790</v>
      </c>
      <c r="D193" s="92">
        <v>24.33</v>
      </c>
      <c r="E193" s="11">
        <v>0.6</v>
      </c>
      <c r="F193" s="11">
        <v>1.1000000000000001</v>
      </c>
      <c r="G193" s="11">
        <v>1.03</v>
      </c>
      <c r="H193" s="11">
        <v>1.4</v>
      </c>
      <c r="I193" s="144">
        <f t="shared" si="12"/>
        <v>17.981534</v>
      </c>
      <c r="J193" s="136">
        <v>25</v>
      </c>
    </row>
    <row r="194" spans="1:10">
      <c r="A194" s="11" t="s">
        <v>55</v>
      </c>
      <c r="B194" s="11" t="s">
        <v>781</v>
      </c>
      <c r="C194" s="143" t="s">
        <v>790</v>
      </c>
      <c r="D194" s="92">
        <v>29.47</v>
      </c>
      <c r="E194" s="11">
        <v>0.6</v>
      </c>
      <c r="F194" s="11">
        <v>1.1000000000000001</v>
      </c>
      <c r="G194" s="11">
        <v>1.03</v>
      </c>
      <c r="H194" s="11">
        <v>1.69</v>
      </c>
      <c r="I194" s="144">
        <f t="shared" si="12"/>
        <v>21.774405999999999</v>
      </c>
      <c r="J194" s="136">
        <v>25</v>
      </c>
    </row>
    <row r="195" spans="1:10">
      <c r="A195" s="11" t="s">
        <v>57</v>
      </c>
      <c r="B195" s="11" t="s">
        <v>782</v>
      </c>
      <c r="C195" s="143" t="s">
        <v>790</v>
      </c>
      <c r="D195" s="92">
        <v>35.03</v>
      </c>
      <c r="E195" s="11">
        <v>0.6</v>
      </c>
      <c r="F195" s="11">
        <v>1.1499999999999999</v>
      </c>
      <c r="G195" s="11">
        <v>1.03</v>
      </c>
      <c r="H195" s="11">
        <v>2.0499999999999998</v>
      </c>
      <c r="I195" s="144">
        <f t="shared" si="12"/>
        <v>27.007321000000001</v>
      </c>
      <c r="J195" s="136">
        <v>25</v>
      </c>
    </row>
    <row r="196" spans="1:10">
      <c r="A196" s="11" t="s">
        <v>59</v>
      </c>
      <c r="B196" s="11" t="s">
        <v>783</v>
      </c>
      <c r="C196" s="143" t="s">
        <v>790</v>
      </c>
      <c r="D196" s="92">
        <v>42.97</v>
      </c>
      <c r="E196" s="11">
        <v>0.6</v>
      </c>
      <c r="F196" s="11">
        <v>1.1499999999999999</v>
      </c>
      <c r="G196" s="11">
        <v>1.03</v>
      </c>
      <c r="H196" s="11">
        <v>2.59</v>
      </c>
      <c r="I196" s="144">
        <f t="shared" si="12"/>
        <v>33.206479000000002</v>
      </c>
      <c r="J196" s="136">
        <v>25</v>
      </c>
    </row>
    <row r="197" spans="1:10">
      <c r="A197" s="11" t="s">
        <v>60</v>
      </c>
      <c r="B197" s="11" t="s">
        <v>784</v>
      </c>
      <c r="C197" s="143" t="s">
        <v>790</v>
      </c>
      <c r="D197" s="92">
        <v>52</v>
      </c>
      <c r="E197" s="11">
        <v>0.6</v>
      </c>
      <c r="F197" s="11">
        <v>1.1499999999999999</v>
      </c>
      <c r="G197" s="11">
        <v>1.03</v>
      </c>
      <c r="H197" s="11">
        <v>3.14</v>
      </c>
      <c r="I197" s="144">
        <f t="shared" si="12"/>
        <v>40.190599999999996</v>
      </c>
      <c r="J197" s="136">
        <v>30</v>
      </c>
    </row>
    <row r="198" spans="1:10">
      <c r="A198" s="11" t="s">
        <v>62</v>
      </c>
      <c r="B198" s="11" t="s">
        <v>785</v>
      </c>
      <c r="C198" s="143" t="s">
        <v>790</v>
      </c>
      <c r="D198" s="92">
        <v>84.47</v>
      </c>
      <c r="E198" s="11">
        <v>0.6</v>
      </c>
      <c r="F198" s="11">
        <v>1.1499999999999999</v>
      </c>
      <c r="G198" s="11">
        <v>1.03</v>
      </c>
      <c r="H198" s="11">
        <v>3.86</v>
      </c>
      <c r="I198" s="144">
        <f t="shared" si="12"/>
        <v>64.008628999999985</v>
      </c>
      <c r="J198" s="145">
        <v>30</v>
      </c>
    </row>
    <row r="199" spans="1:10">
      <c r="C199" s="136"/>
      <c r="D199" s="138"/>
      <c r="I199" s="133"/>
      <c r="J199" s="145"/>
    </row>
    <row r="200" spans="1:10">
      <c r="C200" s="136"/>
      <c r="D200" s="138"/>
      <c r="I200" s="133"/>
      <c r="J200" s="145"/>
    </row>
    <row r="201" spans="1:10">
      <c r="C201" s="136"/>
      <c r="D201" s="138"/>
      <c r="I201" s="133"/>
      <c r="J201" s="145"/>
    </row>
    <row r="202" spans="1:10">
      <c r="A202" s="28" t="s">
        <v>799</v>
      </c>
      <c r="B202" s="28" t="s">
        <v>280</v>
      </c>
      <c r="C202" s="135" t="s">
        <v>800</v>
      </c>
      <c r="D202" s="159" t="s">
        <v>801</v>
      </c>
      <c r="I202" s="138"/>
      <c r="J202" s="145"/>
    </row>
    <row r="203" spans="1:10">
      <c r="A203" s="160" t="s">
        <v>769</v>
      </c>
      <c r="B203" s="160"/>
      <c r="C203" s="161" t="s">
        <v>770</v>
      </c>
      <c r="D203" s="162" t="s">
        <v>771</v>
      </c>
      <c r="E203" s="160" t="s">
        <v>613</v>
      </c>
      <c r="F203" s="160" t="s">
        <v>772</v>
      </c>
      <c r="G203" s="160" t="s">
        <v>773</v>
      </c>
      <c r="H203" s="160" t="s">
        <v>774</v>
      </c>
      <c r="I203" s="163" t="s">
        <v>771</v>
      </c>
      <c r="J203" s="145"/>
    </row>
    <row r="204" spans="1:10">
      <c r="A204" s="11" t="s">
        <v>47</v>
      </c>
      <c r="B204" s="11" t="s">
        <v>776</v>
      </c>
      <c r="C204" s="143" t="s">
        <v>790</v>
      </c>
      <c r="D204" s="92">
        <v>4.16</v>
      </c>
      <c r="E204" s="11">
        <v>0.6</v>
      </c>
      <c r="F204" s="11">
        <v>1.1000000000000001</v>
      </c>
      <c r="G204" s="11">
        <v>1.03</v>
      </c>
      <c r="H204" s="11">
        <v>1.01</v>
      </c>
      <c r="I204" s="144">
        <f t="shared" ref="I204:I210" si="13">(((D204*E204)*F204)+H204)*G204</f>
        <v>3.8682680000000005</v>
      </c>
      <c r="J204" s="145"/>
    </row>
    <row r="205" spans="1:10">
      <c r="A205" s="11" t="s">
        <v>49</v>
      </c>
      <c r="B205" s="11" t="s">
        <v>778</v>
      </c>
      <c r="C205" s="143" t="s">
        <v>790</v>
      </c>
      <c r="D205" s="92">
        <v>4.5599999999999996</v>
      </c>
      <c r="E205" s="11">
        <v>0.6</v>
      </c>
      <c r="F205" s="11">
        <v>1.1000000000000001</v>
      </c>
      <c r="G205" s="11">
        <v>1.03</v>
      </c>
      <c r="H205" s="11">
        <v>1.01</v>
      </c>
      <c r="I205" s="144">
        <f t="shared" si="13"/>
        <v>4.1401879999999993</v>
      </c>
      <c r="J205" s="145"/>
    </row>
    <row r="206" spans="1:10">
      <c r="A206" s="11" t="s">
        <v>51</v>
      </c>
      <c r="B206" s="11" t="s">
        <v>779</v>
      </c>
      <c r="C206" s="143" t="s">
        <v>790</v>
      </c>
      <c r="D206" s="92">
        <v>5.59</v>
      </c>
      <c r="E206" s="11">
        <v>0.6</v>
      </c>
      <c r="F206" s="11">
        <v>1.1000000000000001</v>
      </c>
      <c r="G206" s="11">
        <v>1.03</v>
      </c>
      <c r="H206" s="11">
        <v>1.4</v>
      </c>
      <c r="I206" s="144">
        <f t="shared" si="13"/>
        <v>5.2420819999999999</v>
      </c>
      <c r="J206" s="145"/>
    </row>
    <row r="207" spans="1:10">
      <c r="A207" s="11" t="s">
        <v>53</v>
      </c>
      <c r="B207" s="11" t="s">
        <v>780</v>
      </c>
      <c r="C207" s="143" t="s">
        <v>790</v>
      </c>
      <c r="D207" s="92">
        <v>12.19</v>
      </c>
      <c r="E207" s="11">
        <v>0.6</v>
      </c>
      <c r="F207" s="11">
        <v>1.1000000000000001</v>
      </c>
      <c r="G207" s="11">
        <v>1.03</v>
      </c>
      <c r="H207" s="11">
        <v>1.4</v>
      </c>
      <c r="I207" s="144">
        <f t="shared" si="13"/>
        <v>9.7287619999999997</v>
      </c>
      <c r="J207" s="145"/>
    </row>
    <row r="208" spans="1:10">
      <c r="A208" s="11" t="s">
        <v>55</v>
      </c>
      <c r="B208" s="11" t="s">
        <v>781</v>
      </c>
      <c r="C208" s="143" t="s">
        <v>790</v>
      </c>
      <c r="D208" s="92">
        <v>13.93</v>
      </c>
      <c r="E208" s="11">
        <v>0.6</v>
      </c>
      <c r="F208" s="11">
        <v>1.1000000000000001</v>
      </c>
      <c r="G208" s="11">
        <v>1.03</v>
      </c>
      <c r="H208" s="11">
        <v>1.69</v>
      </c>
      <c r="I208" s="144">
        <f t="shared" si="13"/>
        <v>11.210313999999999</v>
      </c>
      <c r="J208" s="145"/>
    </row>
    <row r="209" spans="1:21">
      <c r="A209" s="11" t="s">
        <v>57</v>
      </c>
      <c r="B209" s="11" t="s">
        <v>782</v>
      </c>
      <c r="C209" s="143" t="s">
        <v>790</v>
      </c>
      <c r="D209" s="92">
        <v>15.37</v>
      </c>
      <c r="E209" s="11">
        <v>0.6</v>
      </c>
      <c r="F209" s="11">
        <v>1.1499999999999999</v>
      </c>
      <c r="G209" s="11">
        <v>1.03</v>
      </c>
      <c r="H209" s="11">
        <v>2.0499999999999998</v>
      </c>
      <c r="I209" s="144">
        <f t="shared" si="13"/>
        <v>13.034958999999997</v>
      </c>
      <c r="J209" s="145"/>
    </row>
    <row r="210" spans="1:21">
      <c r="A210" s="11" t="s">
        <v>59</v>
      </c>
      <c r="B210" s="11" t="s">
        <v>783</v>
      </c>
      <c r="C210" s="143" t="s">
        <v>790</v>
      </c>
      <c r="D210" s="92">
        <v>25.97</v>
      </c>
      <c r="E210" s="11">
        <v>0.6</v>
      </c>
      <c r="F210" s="11">
        <v>1.1499999999999999</v>
      </c>
      <c r="G210" s="11">
        <v>1.03</v>
      </c>
      <c r="H210" s="11">
        <v>2.59</v>
      </c>
      <c r="I210" s="144">
        <f t="shared" si="13"/>
        <v>21.124578999999997</v>
      </c>
      <c r="J210" s="145"/>
    </row>
    <row r="211" spans="1:21">
      <c r="C211" s="136"/>
      <c r="D211" s="138"/>
      <c r="I211" s="133"/>
      <c r="J211" s="145"/>
    </row>
    <row r="212" spans="1:21">
      <c r="C212" s="136"/>
      <c r="D212" s="138"/>
      <c r="I212" s="133"/>
      <c r="J212" s="145"/>
    </row>
    <row r="213" spans="1:21">
      <c r="A213" s="28" t="s">
        <v>802</v>
      </c>
      <c r="B213" s="28" t="s">
        <v>280</v>
      </c>
      <c r="C213" s="136"/>
      <c r="D213" s="159" t="s">
        <v>801</v>
      </c>
      <c r="I213" s="138"/>
      <c r="J213" s="136"/>
    </row>
    <row r="214" spans="1:21">
      <c r="A214" s="160" t="s">
        <v>769</v>
      </c>
      <c r="B214" s="160"/>
      <c r="C214" s="161" t="s">
        <v>770</v>
      </c>
      <c r="D214" s="162" t="s">
        <v>771</v>
      </c>
      <c r="E214" s="160" t="s">
        <v>613</v>
      </c>
      <c r="F214" s="160" t="s">
        <v>772</v>
      </c>
      <c r="G214" s="160" t="s">
        <v>773</v>
      </c>
      <c r="H214" s="160" t="s">
        <v>774</v>
      </c>
      <c r="I214" s="163" t="s">
        <v>771</v>
      </c>
      <c r="J214" s="136"/>
    </row>
    <row r="215" spans="1:21">
      <c r="A215" s="11" t="s">
        <v>47</v>
      </c>
      <c r="B215" s="11" t="s">
        <v>776</v>
      </c>
      <c r="C215" s="143" t="s">
        <v>789</v>
      </c>
      <c r="D215" s="92">
        <v>6.85</v>
      </c>
      <c r="E215" s="11">
        <v>0.6</v>
      </c>
      <c r="F215" s="11">
        <v>1.1000000000000001</v>
      </c>
      <c r="G215" s="11">
        <v>1.03</v>
      </c>
      <c r="H215" s="11">
        <v>1.01</v>
      </c>
      <c r="I215" s="144">
        <f t="shared" ref="I215:I223" si="14">(((D215*E215)*F215)+H215)*G215</f>
        <v>5.69693</v>
      </c>
      <c r="J215" s="136"/>
    </row>
    <row r="216" spans="1:21">
      <c r="A216" s="11" t="s">
        <v>49</v>
      </c>
      <c r="B216" s="11" t="s">
        <v>778</v>
      </c>
      <c r="C216" s="143" t="s">
        <v>789</v>
      </c>
      <c r="D216" s="92">
        <v>7.99</v>
      </c>
      <c r="E216" s="11">
        <v>0.6</v>
      </c>
      <c r="F216" s="11">
        <v>1.1000000000000001</v>
      </c>
      <c r="G216" s="11">
        <v>1.03</v>
      </c>
      <c r="H216" s="11">
        <v>1.01</v>
      </c>
      <c r="I216" s="144">
        <f t="shared" si="14"/>
        <v>6.4719019999999992</v>
      </c>
      <c r="J216" s="136"/>
    </row>
    <row r="217" spans="1:21">
      <c r="A217" s="11" t="s">
        <v>51</v>
      </c>
      <c r="B217" s="11" t="s">
        <v>779</v>
      </c>
      <c r="C217" s="143" t="s">
        <v>789</v>
      </c>
      <c r="D217" s="92">
        <v>9.74</v>
      </c>
      <c r="E217" s="11">
        <v>0.6</v>
      </c>
      <c r="F217" s="11">
        <v>1.1000000000000001</v>
      </c>
      <c r="G217" s="11">
        <v>1.03</v>
      </c>
      <c r="H217" s="11">
        <v>1.4</v>
      </c>
      <c r="I217" s="144">
        <f t="shared" si="14"/>
        <v>8.0632520000000003</v>
      </c>
      <c r="J217" s="136"/>
      <c r="U217" s="138"/>
    </row>
    <row r="218" spans="1:21">
      <c r="A218" s="11" t="s">
        <v>53</v>
      </c>
      <c r="B218" s="11" t="s">
        <v>780</v>
      </c>
      <c r="C218" s="143" t="s">
        <v>789</v>
      </c>
      <c r="D218" s="92">
        <v>11.32</v>
      </c>
      <c r="E218" s="11">
        <v>0.6</v>
      </c>
      <c r="F218" s="11">
        <v>1.1000000000000001</v>
      </c>
      <c r="G218" s="11">
        <v>1.03</v>
      </c>
      <c r="H218" s="11">
        <v>1.4</v>
      </c>
      <c r="I218" s="144">
        <f t="shared" si="14"/>
        <v>9.1373359999999995</v>
      </c>
      <c r="J218" s="136"/>
      <c r="U218" s="164"/>
    </row>
    <row r="219" spans="1:21">
      <c r="A219" s="11" t="s">
        <v>55</v>
      </c>
      <c r="B219" s="11" t="s">
        <v>781</v>
      </c>
      <c r="C219" s="143" t="s">
        <v>789</v>
      </c>
      <c r="D219" s="92">
        <v>13.57</v>
      </c>
      <c r="E219" s="11">
        <v>0.6</v>
      </c>
      <c r="F219" s="11">
        <v>1.1000000000000001</v>
      </c>
      <c r="G219" s="11">
        <v>1.03</v>
      </c>
      <c r="H219" s="11">
        <v>1.69</v>
      </c>
      <c r="I219" s="144">
        <f t="shared" si="14"/>
        <v>10.965586</v>
      </c>
      <c r="J219" s="136"/>
      <c r="U219" s="133"/>
    </row>
    <row r="220" spans="1:21">
      <c r="A220" s="11" t="s">
        <v>57</v>
      </c>
      <c r="B220" s="11" t="s">
        <v>782</v>
      </c>
      <c r="C220" s="143" t="s">
        <v>789</v>
      </c>
      <c r="D220" s="92">
        <v>18.09</v>
      </c>
      <c r="E220" s="11">
        <v>0.6</v>
      </c>
      <c r="F220" s="11">
        <v>1.1499999999999999</v>
      </c>
      <c r="G220" s="11">
        <v>1.03</v>
      </c>
      <c r="H220" s="11">
        <v>2.0499999999999998</v>
      </c>
      <c r="I220" s="144">
        <f t="shared" si="14"/>
        <v>14.968062999999997</v>
      </c>
      <c r="J220" s="136"/>
      <c r="U220" s="133"/>
    </row>
    <row r="221" spans="1:21">
      <c r="A221" s="11" t="s">
        <v>59</v>
      </c>
      <c r="B221" s="11" t="s">
        <v>783</v>
      </c>
      <c r="C221" s="143" t="s">
        <v>789</v>
      </c>
      <c r="D221" s="92">
        <v>20.99</v>
      </c>
      <c r="E221" s="11">
        <v>0.6</v>
      </c>
      <c r="F221" s="11">
        <v>1.1499999999999999</v>
      </c>
      <c r="G221" s="11">
        <v>1.03</v>
      </c>
      <c r="H221" s="11">
        <v>2.59</v>
      </c>
      <c r="I221" s="144">
        <f t="shared" si="14"/>
        <v>17.585292999999997</v>
      </c>
      <c r="J221" s="136"/>
      <c r="U221" s="133"/>
    </row>
    <row r="222" spans="1:21">
      <c r="A222" s="11" t="s">
        <v>60</v>
      </c>
      <c r="B222" s="11" t="s">
        <v>784</v>
      </c>
      <c r="C222" s="143" t="s">
        <v>789</v>
      </c>
      <c r="D222" s="92">
        <v>25.74</v>
      </c>
      <c r="E222" s="11">
        <v>0.6</v>
      </c>
      <c r="F222" s="11">
        <v>1.1499999999999999</v>
      </c>
      <c r="G222" s="11">
        <v>1.03</v>
      </c>
      <c r="H222" s="11">
        <v>3.14</v>
      </c>
      <c r="I222" s="144">
        <f t="shared" si="14"/>
        <v>21.527617999999997</v>
      </c>
      <c r="J222" s="136"/>
      <c r="U222" s="133"/>
    </row>
    <row r="223" spans="1:21">
      <c r="A223" s="11" t="s">
        <v>62</v>
      </c>
      <c r="B223" s="11" t="s">
        <v>785</v>
      </c>
      <c r="C223" s="143" t="s">
        <v>789</v>
      </c>
      <c r="D223" s="92">
        <v>33.43</v>
      </c>
      <c r="E223" s="11">
        <v>0.6</v>
      </c>
      <c r="F223" s="11">
        <v>1.1499999999999999</v>
      </c>
      <c r="G223" s="11">
        <v>1.03</v>
      </c>
      <c r="H223" s="11">
        <v>3.86</v>
      </c>
      <c r="I223" s="144">
        <f t="shared" si="14"/>
        <v>27.734500999999998</v>
      </c>
      <c r="J223" s="136"/>
      <c r="U223" s="133"/>
    </row>
    <row r="224" spans="1:21">
      <c r="C224" s="136"/>
      <c r="D224" s="138"/>
      <c r="I224" s="138"/>
      <c r="J224" s="136"/>
      <c r="U224" s="133"/>
    </row>
    <row r="225" spans="1:22">
      <c r="C225" s="136"/>
      <c r="D225" s="138"/>
      <c r="I225" s="138"/>
      <c r="J225" s="136"/>
      <c r="U225" s="133"/>
    </row>
    <row r="226" spans="1:22">
      <c r="A226" s="28" t="s">
        <v>802</v>
      </c>
      <c r="B226" s="135" t="s">
        <v>280</v>
      </c>
      <c r="C226" s="134"/>
      <c r="D226" s="159" t="s">
        <v>801</v>
      </c>
      <c r="I226" s="138"/>
      <c r="J226" s="136"/>
      <c r="U226" s="133"/>
    </row>
    <row r="227" spans="1:22">
      <c r="A227" s="160" t="s">
        <v>769</v>
      </c>
      <c r="B227" s="160"/>
      <c r="C227" s="161" t="s">
        <v>770</v>
      </c>
      <c r="D227" s="162" t="s">
        <v>771</v>
      </c>
      <c r="E227" s="160" t="s">
        <v>613</v>
      </c>
      <c r="F227" s="160" t="s">
        <v>772</v>
      </c>
      <c r="G227" s="160" t="s">
        <v>773</v>
      </c>
      <c r="H227" s="160" t="s">
        <v>774</v>
      </c>
      <c r="I227" s="163" t="s">
        <v>771</v>
      </c>
      <c r="J227" s="136"/>
      <c r="U227" s="133"/>
    </row>
    <row r="228" spans="1:22">
      <c r="A228" s="11" t="s">
        <v>47</v>
      </c>
      <c r="B228" s="11" t="s">
        <v>776</v>
      </c>
      <c r="C228" s="143" t="s">
        <v>787</v>
      </c>
      <c r="D228" s="92">
        <v>12.58</v>
      </c>
      <c r="E228" s="11">
        <v>0.6</v>
      </c>
      <c r="F228" s="11">
        <v>1.1000000000000001</v>
      </c>
      <c r="G228" s="11">
        <v>1.03</v>
      </c>
      <c r="H228" s="11">
        <v>1.01</v>
      </c>
      <c r="I228" s="144">
        <f t="shared" ref="I228:I236" si="15">(((D228*E228)*F228)+H228)*G228</f>
        <v>9.5921840000000014</v>
      </c>
      <c r="J228" s="136"/>
      <c r="U228" s="133"/>
    </row>
    <row r="229" spans="1:22">
      <c r="A229" s="11" t="s">
        <v>49</v>
      </c>
      <c r="B229" s="11" t="s">
        <v>778</v>
      </c>
      <c r="C229" s="143" t="s">
        <v>787</v>
      </c>
      <c r="D229" s="92">
        <v>14.23</v>
      </c>
      <c r="E229" s="11">
        <v>0.6</v>
      </c>
      <c r="F229" s="11">
        <v>1.1000000000000001</v>
      </c>
      <c r="G229" s="11">
        <v>1.03</v>
      </c>
      <c r="H229" s="11">
        <v>1.01</v>
      </c>
      <c r="I229" s="144">
        <f t="shared" si="15"/>
        <v>10.713854000000001</v>
      </c>
      <c r="J229" s="136"/>
      <c r="U229" s="133"/>
    </row>
    <row r="230" spans="1:22">
      <c r="A230" s="11" t="s">
        <v>51</v>
      </c>
      <c r="B230" s="11" t="s">
        <v>779</v>
      </c>
      <c r="C230" s="143" t="s">
        <v>787</v>
      </c>
      <c r="D230" s="92">
        <v>16.7</v>
      </c>
      <c r="E230" s="11">
        <v>0.6</v>
      </c>
      <c r="F230" s="11">
        <v>1.1000000000000001</v>
      </c>
      <c r="G230" s="11">
        <v>1.03</v>
      </c>
      <c r="H230" s="11">
        <v>1.4</v>
      </c>
      <c r="I230" s="144">
        <f t="shared" si="15"/>
        <v>12.79466</v>
      </c>
      <c r="J230" s="136"/>
    </row>
    <row r="231" spans="1:22">
      <c r="A231" s="11" t="s">
        <v>53</v>
      </c>
      <c r="B231" s="11" t="s">
        <v>780</v>
      </c>
      <c r="C231" s="143" t="s">
        <v>787</v>
      </c>
      <c r="D231" s="92">
        <v>18.899999999999999</v>
      </c>
      <c r="E231" s="11">
        <v>0.6</v>
      </c>
      <c r="F231" s="11">
        <v>1.1000000000000001</v>
      </c>
      <c r="G231" s="11">
        <v>1.03</v>
      </c>
      <c r="H231" s="11">
        <v>1.4</v>
      </c>
      <c r="I231" s="144">
        <f t="shared" si="15"/>
        <v>14.29022</v>
      </c>
      <c r="J231" s="136"/>
    </row>
    <row r="232" spans="1:22">
      <c r="A232" s="11" t="s">
        <v>55</v>
      </c>
      <c r="B232" s="11" t="s">
        <v>781</v>
      </c>
      <c r="C232" s="143" t="s">
        <v>787</v>
      </c>
      <c r="D232" s="92">
        <v>22.89</v>
      </c>
      <c r="E232" s="11">
        <v>0.6</v>
      </c>
      <c r="F232" s="11">
        <v>1.1000000000000001</v>
      </c>
      <c r="G232" s="11">
        <v>1.03</v>
      </c>
      <c r="H232" s="11">
        <v>1.69</v>
      </c>
      <c r="I232" s="144">
        <f t="shared" si="15"/>
        <v>17.301322000000003</v>
      </c>
      <c r="J232" s="136"/>
      <c r="U232" s="138"/>
    </row>
    <row r="233" spans="1:22">
      <c r="A233" s="11" t="s">
        <v>57</v>
      </c>
      <c r="B233" s="11" t="s">
        <v>782</v>
      </c>
      <c r="C233" s="143" t="s">
        <v>787</v>
      </c>
      <c r="D233" s="92">
        <v>28.63</v>
      </c>
      <c r="E233" s="11">
        <v>0.6</v>
      </c>
      <c r="F233" s="11">
        <v>1.1499999999999999</v>
      </c>
      <c r="G233" s="11">
        <v>1.03</v>
      </c>
      <c r="H233" s="11">
        <v>2.0499999999999998</v>
      </c>
      <c r="I233" s="144">
        <f t="shared" si="15"/>
        <v>22.458840999999996</v>
      </c>
      <c r="J233" s="136"/>
      <c r="U233" s="164"/>
    </row>
    <row r="234" spans="1:22">
      <c r="A234" s="11" t="s">
        <v>59</v>
      </c>
      <c r="B234" s="11" t="s">
        <v>783</v>
      </c>
      <c r="C234" s="143" t="s">
        <v>787</v>
      </c>
      <c r="D234" s="92">
        <v>36.380000000000003</v>
      </c>
      <c r="E234" s="11">
        <v>0.6</v>
      </c>
      <c r="F234" s="11">
        <v>1.1499999999999999</v>
      </c>
      <c r="G234" s="11">
        <v>1.03</v>
      </c>
      <c r="H234" s="11">
        <v>2.59</v>
      </c>
      <c r="I234" s="144">
        <f t="shared" si="15"/>
        <v>28.522965999999997</v>
      </c>
      <c r="J234" s="136"/>
      <c r="U234" s="133"/>
      <c r="V234" s="136"/>
    </row>
    <row r="235" spans="1:22">
      <c r="A235" s="11" t="s">
        <v>60</v>
      </c>
      <c r="B235" s="11" t="s">
        <v>784</v>
      </c>
      <c r="C235" s="143" t="s">
        <v>787</v>
      </c>
      <c r="D235" s="92">
        <v>61.71</v>
      </c>
      <c r="E235" s="11">
        <v>0.6</v>
      </c>
      <c r="F235" s="11">
        <v>1.1499999999999999</v>
      </c>
      <c r="G235" s="11">
        <v>1.03</v>
      </c>
      <c r="H235" s="11">
        <v>3.14</v>
      </c>
      <c r="I235" s="144">
        <f t="shared" si="15"/>
        <v>47.091496999999997</v>
      </c>
      <c r="J235" s="136"/>
      <c r="U235" s="133"/>
      <c r="V235" s="136"/>
    </row>
    <row r="236" spans="1:22">
      <c r="A236" s="11" t="s">
        <v>62</v>
      </c>
      <c r="B236" s="11" t="s">
        <v>785</v>
      </c>
      <c r="C236" s="143" t="s">
        <v>787</v>
      </c>
      <c r="D236" s="92">
        <v>69.400000000000006</v>
      </c>
      <c r="E236" s="11">
        <v>0.6</v>
      </c>
      <c r="F236" s="11">
        <v>1.1499999999999999</v>
      </c>
      <c r="G236" s="11">
        <v>1.03</v>
      </c>
      <c r="H236" s="11">
        <v>3.86</v>
      </c>
      <c r="I236" s="144">
        <f t="shared" si="15"/>
        <v>53.298379999999995</v>
      </c>
      <c r="J236" s="136"/>
      <c r="U236" s="133"/>
      <c r="V236" s="136"/>
    </row>
    <row r="237" spans="1:22">
      <c r="C237" s="136"/>
      <c r="D237" s="138"/>
      <c r="I237" s="138"/>
      <c r="J237" s="136"/>
      <c r="U237" s="133"/>
      <c r="V237" s="136"/>
    </row>
    <row r="238" spans="1:22">
      <c r="C238" s="136"/>
      <c r="D238" s="138"/>
      <c r="I238" s="138"/>
      <c r="J238" s="136"/>
      <c r="U238" s="133"/>
      <c r="V238" s="136"/>
    </row>
    <row r="239" spans="1:22">
      <c r="A239" s="28" t="s">
        <v>802</v>
      </c>
      <c r="B239" s="135" t="s">
        <v>280</v>
      </c>
      <c r="C239" s="134"/>
      <c r="D239" s="159" t="s">
        <v>801</v>
      </c>
      <c r="I239" s="138"/>
      <c r="J239" s="145"/>
    </row>
    <row r="240" spans="1:22">
      <c r="A240" s="160" t="s">
        <v>769</v>
      </c>
      <c r="B240" s="160"/>
      <c r="C240" s="161" t="s">
        <v>770</v>
      </c>
      <c r="D240" s="162" t="s">
        <v>771</v>
      </c>
      <c r="E240" s="160" t="s">
        <v>613</v>
      </c>
      <c r="F240" s="160" t="s">
        <v>772</v>
      </c>
      <c r="G240" s="160" t="s">
        <v>773</v>
      </c>
      <c r="H240" s="160" t="s">
        <v>774</v>
      </c>
      <c r="I240" s="163" t="s">
        <v>771</v>
      </c>
      <c r="J240" s="145"/>
      <c r="N240" s="136"/>
      <c r="O240" s="138"/>
      <c r="T240" s="133"/>
    </row>
    <row r="241" spans="1:20">
      <c r="A241" s="11" t="s">
        <v>47</v>
      </c>
      <c r="B241" s="11" t="s">
        <v>776</v>
      </c>
      <c r="C241" s="143" t="s">
        <v>777</v>
      </c>
      <c r="D241" s="92">
        <v>16.77</v>
      </c>
      <c r="E241" s="11">
        <v>0.6</v>
      </c>
      <c r="F241" s="11">
        <v>1.1000000000000001</v>
      </c>
      <c r="G241" s="11">
        <v>1.03</v>
      </c>
      <c r="H241" s="11">
        <v>1.01</v>
      </c>
      <c r="I241" s="144">
        <f t="shared" ref="I241:I249" si="16">(((D241*E241)*F241)+H241)*G241</f>
        <v>12.440546000000001</v>
      </c>
      <c r="J241" s="145"/>
      <c r="N241" s="136"/>
      <c r="O241" s="138"/>
      <c r="T241" s="133"/>
    </row>
    <row r="242" spans="1:20">
      <c r="A242" s="11" t="s">
        <v>49</v>
      </c>
      <c r="B242" s="11" t="s">
        <v>778</v>
      </c>
      <c r="C242" s="143" t="s">
        <v>777</v>
      </c>
      <c r="D242" s="92">
        <v>19.100000000000001</v>
      </c>
      <c r="E242" s="11">
        <v>0.6</v>
      </c>
      <c r="F242" s="11">
        <v>1.1000000000000001</v>
      </c>
      <c r="G242" s="11">
        <v>1.03</v>
      </c>
      <c r="H242" s="11">
        <v>1.01</v>
      </c>
      <c r="I242" s="144">
        <f t="shared" si="16"/>
        <v>14.024480000000002</v>
      </c>
      <c r="J242" s="145"/>
      <c r="N242" s="136"/>
      <c r="O242" s="138"/>
      <c r="T242" s="133"/>
    </row>
    <row r="243" spans="1:20">
      <c r="A243" s="11" t="s">
        <v>51</v>
      </c>
      <c r="B243" s="11" t="s">
        <v>779</v>
      </c>
      <c r="C243" s="143" t="s">
        <v>777</v>
      </c>
      <c r="D243" s="92">
        <v>21.58</v>
      </c>
      <c r="E243" s="11">
        <v>0.6</v>
      </c>
      <c r="F243" s="11">
        <v>1.1000000000000001</v>
      </c>
      <c r="G243" s="11">
        <v>1.03</v>
      </c>
      <c r="H243" s="11">
        <v>1.4</v>
      </c>
      <c r="I243" s="144">
        <f t="shared" si="16"/>
        <v>16.112083999999999</v>
      </c>
      <c r="J243" s="145"/>
      <c r="N243" s="136"/>
      <c r="O243" s="138"/>
      <c r="T243" s="133"/>
    </row>
    <row r="244" spans="1:20">
      <c r="A244" s="11" t="s">
        <v>53</v>
      </c>
      <c r="B244" s="11" t="s">
        <v>780</v>
      </c>
      <c r="C244" s="143" t="s">
        <v>777</v>
      </c>
      <c r="D244" s="92">
        <v>24.62</v>
      </c>
      <c r="E244" s="11">
        <v>0.6</v>
      </c>
      <c r="F244" s="11">
        <v>1.1000000000000001</v>
      </c>
      <c r="G244" s="11">
        <v>1.03</v>
      </c>
      <c r="H244" s="11">
        <v>1.4</v>
      </c>
      <c r="I244" s="144">
        <f t="shared" si="16"/>
        <v>18.178675999999999</v>
      </c>
      <c r="J244" s="145"/>
      <c r="N244" s="136"/>
      <c r="O244" s="138"/>
      <c r="T244" s="133"/>
    </row>
    <row r="245" spans="1:20">
      <c r="A245" s="11" t="s">
        <v>55</v>
      </c>
      <c r="B245" s="11" t="s">
        <v>781</v>
      </c>
      <c r="C245" s="143" t="s">
        <v>777</v>
      </c>
      <c r="D245" s="92">
        <v>35.700000000000003</v>
      </c>
      <c r="E245" s="11">
        <v>0.6</v>
      </c>
      <c r="F245" s="11">
        <v>1.1000000000000001</v>
      </c>
      <c r="G245" s="11">
        <v>1.03</v>
      </c>
      <c r="H245" s="11">
        <v>1.69</v>
      </c>
      <c r="I245" s="144">
        <f t="shared" si="16"/>
        <v>26.009560000000008</v>
      </c>
      <c r="J245" s="145"/>
      <c r="N245" s="136"/>
      <c r="O245" s="138"/>
      <c r="T245" s="133"/>
    </row>
    <row r="246" spans="1:20">
      <c r="A246" s="11" t="s">
        <v>57</v>
      </c>
      <c r="B246" s="11" t="s">
        <v>782</v>
      </c>
      <c r="C246" s="143" t="s">
        <v>777</v>
      </c>
      <c r="D246" s="92">
        <v>51.94</v>
      </c>
      <c r="E246" s="11">
        <v>0.6</v>
      </c>
      <c r="F246" s="11">
        <v>1.1499999999999999</v>
      </c>
      <c r="G246" s="11">
        <v>1.03</v>
      </c>
      <c r="H246" s="11">
        <v>2.0499999999999998</v>
      </c>
      <c r="I246" s="144">
        <f t="shared" si="16"/>
        <v>39.025257999999994</v>
      </c>
      <c r="J246" s="145"/>
      <c r="N246" s="136"/>
      <c r="O246" s="138"/>
      <c r="T246" s="133"/>
    </row>
    <row r="247" spans="1:20">
      <c r="A247" s="11" t="s">
        <v>59</v>
      </c>
      <c r="B247" s="11" t="s">
        <v>783</v>
      </c>
      <c r="C247" s="143" t="s">
        <v>777</v>
      </c>
      <c r="D247" s="92">
        <v>67.239999999999995</v>
      </c>
      <c r="E247" s="11">
        <v>0.6</v>
      </c>
      <c r="F247" s="11">
        <v>1.1499999999999999</v>
      </c>
      <c r="G247" s="11">
        <v>1.03</v>
      </c>
      <c r="H247" s="11">
        <v>2.59</v>
      </c>
      <c r="I247" s="144">
        <f t="shared" si="16"/>
        <v>50.455167999999993</v>
      </c>
      <c r="J247" s="145"/>
      <c r="N247" s="136"/>
      <c r="O247" s="138"/>
      <c r="T247" s="133"/>
    </row>
    <row r="248" spans="1:20">
      <c r="A248" s="11" t="s">
        <v>60</v>
      </c>
      <c r="B248" s="11" t="s">
        <v>784</v>
      </c>
      <c r="C248" s="143" t="s">
        <v>777</v>
      </c>
      <c r="D248" s="92">
        <v>89.33</v>
      </c>
      <c r="E248" s="11">
        <v>0.6</v>
      </c>
      <c r="F248" s="11">
        <v>1.1499999999999999</v>
      </c>
      <c r="G248" s="11">
        <v>1.03</v>
      </c>
      <c r="H248" s="11">
        <v>3.14</v>
      </c>
      <c r="I248" s="144">
        <f t="shared" si="16"/>
        <v>66.721030999999996</v>
      </c>
      <c r="J248" s="145"/>
      <c r="N248" s="136"/>
      <c r="O248" s="138"/>
      <c r="T248" s="133"/>
    </row>
    <row r="249" spans="1:20">
      <c r="A249" s="11" t="s">
        <v>62</v>
      </c>
      <c r="B249" s="11" t="s">
        <v>785</v>
      </c>
      <c r="C249" s="143" t="s">
        <v>777</v>
      </c>
      <c r="D249" s="92">
        <v>110.67</v>
      </c>
      <c r="E249" s="11">
        <v>0.6</v>
      </c>
      <c r="F249" s="11">
        <v>1.1499999999999999</v>
      </c>
      <c r="G249" s="11">
        <v>1.03</v>
      </c>
      <c r="H249" s="11">
        <v>3.86</v>
      </c>
      <c r="I249" s="144">
        <f t="shared" si="16"/>
        <v>82.628968999999998</v>
      </c>
      <c r="J249" s="145"/>
      <c r="N249" s="136"/>
      <c r="O249" s="138"/>
      <c r="T249" s="133"/>
    </row>
    <row r="250" spans="1:20">
      <c r="C250" s="136"/>
      <c r="D250" s="138"/>
      <c r="I250" s="133"/>
      <c r="J250" s="145"/>
      <c r="N250" s="136"/>
      <c r="O250" s="138"/>
      <c r="T250" s="133"/>
    </row>
    <row r="251" spans="1:20">
      <c r="C251" s="136"/>
      <c r="D251" s="138"/>
      <c r="I251" s="133"/>
      <c r="J251" s="145"/>
      <c r="N251" s="136"/>
      <c r="O251" s="138"/>
      <c r="T251" s="133"/>
    </row>
    <row r="252" spans="1:20">
      <c r="A252" s="28" t="s">
        <v>802</v>
      </c>
      <c r="B252" s="135" t="s">
        <v>803</v>
      </c>
      <c r="C252" s="134"/>
      <c r="D252" s="159" t="s">
        <v>768</v>
      </c>
      <c r="I252" s="138"/>
      <c r="J252" s="145"/>
      <c r="N252" s="136"/>
      <c r="O252" s="138"/>
      <c r="T252" s="133"/>
    </row>
    <row r="253" spans="1:20">
      <c r="A253" s="50" t="s">
        <v>769</v>
      </c>
      <c r="B253" s="50"/>
      <c r="C253" s="165" t="s">
        <v>770</v>
      </c>
      <c r="D253" s="166" t="s">
        <v>771</v>
      </c>
      <c r="E253" s="50" t="s">
        <v>613</v>
      </c>
      <c r="F253" s="50" t="s">
        <v>772</v>
      </c>
      <c r="G253" s="50" t="s">
        <v>773</v>
      </c>
      <c r="H253" s="50" t="s">
        <v>774</v>
      </c>
      <c r="I253" s="167" t="s">
        <v>771</v>
      </c>
      <c r="J253" s="145"/>
      <c r="N253" s="136"/>
      <c r="O253" s="138"/>
      <c r="T253" s="133"/>
    </row>
    <row r="254" spans="1:20">
      <c r="A254" s="11" t="s">
        <v>47</v>
      </c>
      <c r="B254" s="11" t="s">
        <v>776</v>
      </c>
      <c r="C254" s="143" t="s">
        <v>790</v>
      </c>
      <c r="D254" s="92">
        <v>3.52</v>
      </c>
      <c r="E254" s="11">
        <v>0.6</v>
      </c>
      <c r="F254" s="11">
        <v>1.1000000000000001</v>
      </c>
      <c r="G254" s="11">
        <v>1.03</v>
      </c>
      <c r="H254" s="11">
        <v>1.01</v>
      </c>
      <c r="I254" s="144">
        <f t="shared" ref="I254:I260" si="17">(((D254*E254)*F254)+H254)*G254</f>
        <v>3.4331960000000006</v>
      </c>
      <c r="J254" s="145"/>
      <c r="N254" s="136"/>
      <c r="O254" s="138"/>
      <c r="T254" s="133"/>
    </row>
    <row r="255" spans="1:20">
      <c r="A255" s="11" t="s">
        <v>49</v>
      </c>
      <c r="B255" s="11" t="s">
        <v>778</v>
      </c>
      <c r="C255" s="143" t="s">
        <v>790</v>
      </c>
      <c r="D255" s="92">
        <v>3.87</v>
      </c>
      <c r="E255" s="11">
        <v>0.6</v>
      </c>
      <c r="F255" s="11">
        <v>1.1000000000000001</v>
      </c>
      <c r="G255" s="11">
        <v>1.03</v>
      </c>
      <c r="H255" s="11">
        <v>1.01</v>
      </c>
      <c r="I255" s="144">
        <f t="shared" si="17"/>
        <v>3.6711260000000006</v>
      </c>
      <c r="J255" s="145"/>
      <c r="N255" s="136"/>
      <c r="O255" s="138"/>
      <c r="T255" s="133"/>
    </row>
    <row r="256" spans="1:20">
      <c r="A256" s="11" t="s">
        <v>51</v>
      </c>
      <c r="B256" s="11" t="s">
        <v>779</v>
      </c>
      <c r="C256" s="143" t="s">
        <v>790</v>
      </c>
      <c r="D256" s="92">
        <v>4.75</v>
      </c>
      <c r="E256" s="11">
        <v>0.6</v>
      </c>
      <c r="F256" s="11">
        <v>1.1000000000000001</v>
      </c>
      <c r="G256" s="11">
        <v>1.03</v>
      </c>
      <c r="H256" s="11">
        <v>1.4</v>
      </c>
      <c r="I256" s="144">
        <f t="shared" si="17"/>
        <v>4.6710500000000001</v>
      </c>
      <c r="J256" s="145"/>
      <c r="N256" s="136"/>
      <c r="O256" s="138"/>
      <c r="T256" s="133"/>
    </row>
    <row r="257" spans="1:20">
      <c r="A257" s="11" t="s">
        <v>53</v>
      </c>
      <c r="B257" s="11" t="s">
        <v>780</v>
      </c>
      <c r="C257" s="143" t="s">
        <v>790</v>
      </c>
      <c r="D257" s="92">
        <v>5.68</v>
      </c>
      <c r="E257" s="11">
        <v>0.6</v>
      </c>
      <c r="F257" s="11">
        <v>1.1000000000000001</v>
      </c>
      <c r="G257" s="11">
        <v>1.03</v>
      </c>
      <c r="H257" s="11">
        <v>1.4</v>
      </c>
      <c r="I257" s="144">
        <f t="shared" si="17"/>
        <v>5.3032639999999995</v>
      </c>
      <c r="J257" s="145"/>
      <c r="N257" s="136"/>
      <c r="O257" s="138"/>
      <c r="T257" s="133"/>
    </row>
    <row r="258" spans="1:20">
      <c r="A258" s="11" t="s">
        <v>55</v>
      </c>
      <c r="B258" s="11" t="s">
        <v>781</v>
      </c>
      <c r="C258" s="143" t="s">
        <v>790</v>
      </c>
      <c r="D258" s="92">
        <v>7.66</v>
      </c>
      <c r="E258" s="11">
        <v>0.6</v>
      </c>
      <c r="F258" s="11">
        <v>1.1000000000000001</v>
      </c>
      <c r="G258" s="11">
        <v>1.03</v>
      </c>
      <c r="H258" s="11">
        <v>1.69</v>
      </c>
      <c r="I258" s="144">
        <f t="shared" si="17"/>
        <v>6.9479679999999995</v>
      </c>
      <c r="J258" s="145"/>
      <c r="N258" s="136"/>
      <c r="O258" s="138"/>
      <c r="T258" s="133"/>
    </row>
    <row r="259" spans="1:20">
      <c r="A259" s="11" t="s">
        <v>57</v>
      </c>
      <c r="B259" s="11" t="s">
        <v>782</v>
      </c>
      <c r="C259" s="143" t="s">
        <v>790</v>
      </c>
      <c r="D259" s="92">
        <v>10.1</v>
      </c>
      <c r="E259" s="11">
        <v>0.6</v>
      </c>
      <c r="F259" s="11">
        <v>1.1499999999999999</v>
      </c>
      <c r="G259" s="11">
        <v>1.03</v>
      </c>
      <c r="H259" s="11">
        <v>2.0499999999999998</v>
      </c>
      <c r="I259" s="144">
        <f t="shared" si="17"/>
        <v>9.2895699999999977</v>
      </c>
      <c r="J259" s="145"/>
      <c r="N259" s="136"/>
      <c r="O259" s="138"/>
      <c r="T259" s="133"/>
    </row>
    <row r="260" spans="1:20">
      <c r="A260" s="11" t="s">
        <v>59</v>
      </c>
      <c r="B260" s="11" t="s">
        <v>783</v>
      </c>
      <c r="C260" s="143" t="s">
        <v>790</v>
      </c>
      <c r="D260" s="92">
        <v>11.28</v>
      </c>
      <c r="E260" s="11">
        <v>0.6</v>
      </c>
      <c r="F260" s="11">
        <v>1.1499999999999999</v>
      </c>
      <c r="G260" s="11">
        <v>1.03</v>
      </c>
      <c r="H260" s="11">
        <v>2.59</v>
      </c>
      <c r="I260" s="144">
        <f t="shared" si="17"/>
        <v>10.684396</v>
      </c>
      <c r="J260" s="145"/>
      <c r="N260" s="136"/>
      <c r="O260" s="138"/>
      <c r="T260" s="133"/>
    </row>
    <row r="261" spans="1:20">
      <c r="C261" s="136"/>
      <c r="D261" s="138"/>
      <c r="I261" s="133"/>
      <c r="J261" s="145"/>
      <c r="N261" s="136"/>
      <c r="O261" s="138"/>
      <c r="T261" s="133"/>
    </row>
    <row r="262" spans="1:20">
      <c r="C262" s="136"/>
      <c r="D262" s="138"/>
      <c r="I262" s="133"/>
      <c r="J262" s="145"/>
      <c r="N262" s="136"/>
      <c r="O262" s="138"/>
      <c r="T262" s="133"/>
    </row>
    <row r="263" spans="1:20">
      <c r="A263" s="28" t="s">
        <v>802</v>
      </c>
      <c r="B263" s="135" t="s">
        <v>803</v>
      </c>
      <c r="C263" s="134"/>
      <c r="D263" s="159" t="s">
        <v>768</v>
      </c>
      <c r="I263" s="138"/>
      <c r="J263" s="136"/>
    </row>
    <row r="264" spans="1:20">
      <c r="A264" s="50" t="s">
        <v>769</v>
      </c>
      <c r="B264" s="50"/>
      <c r="C264" s="165" t="s">
        <v>770</v>
      </c>
      <c r="D264" s="166" t="s">
        <v>771</v>
      </c>
      <c r="E264" s="50" t="s">
        <v>613</v>
      </c>
      <c r="F264" s="50" t="s">
        <v>772</v>
      </c>
      <c r="G264" s="50" t="s">
        <v>773</v>
      </c>
      <c r="H264" s="50" t="s">
        <v>774</v>
      </c>
      <c r="I264" s="167" t="s">
        <v>771</v>
      </c>
      <c r="J264" s="136"/>
    </row>
    <row r="265" spans="1:20">
      <c r="A265" s="11" t="s">
        <v>47</v>
      </c>
      <c r="B265" s="11" t="s">
        <v>776</v>
      </c>
      <c r="C265" s="143" t="s">
        <v>789</v>
      </c>
      <c r="D265" s="92">
        <v>5.84</v>
      </c>
      <c r="E265" s="11">
        <v>0.6</v>
      </c>
      <c r="F265" s="11">
        <v>1.1000000000000001</v>
      </c>
      <c r="G265" s="11">
        <v>1.03</v>
      </c>
      <c r="H265" s="11">
        <v>1.01</v>
      </c>
      <c r="I265" s="144">
        <f t="shared" ref="I265:I273" si="18">(((D265*E265)*F265)+H265)*G265</f>
        <v>5.0103320000000009</v>
      </c>
      <c r="J265" s="136"/>
    </row>
    <row r="266" spans="1:20">
      <c r="A266" s="11" t="s">
        <v>49</v>
      </c>
      <c r="B266" s="11" t="s">
        <v>778</v>
      </c>
      <c r="C266" s="143" t="s">
        <v>789</v>
      </c>
      <c r="D266" s="92">
        <v>6.79</v>
      </c>
      <c r="E266" s="11">
        <v>0.6</v>
      </c>
      <c r="F266" s="11">
        <v>1.1000000000000001</v>
      </c>
      <c r="G266" s="11">
        <v>1.03</v>
      </c>
      <c r="H266" s="11">
        <v>1.01</v>
      </c>
      <c r="I266" s="144">
        <f t="shared" si="18"/>
        <v>5.656142</v>
      </c>
      <c r="J266" s="136"/>
    </row>
    <row r="267" spans="1:20">
      <c r="A267" s="11" t="s">
        <v>51</v>
      </c>
      <c r="B267" s="11" t="s">
        <v>779</v>
      </c>
      <c r="C267" s="143" t="s">
        <v>789</v>
      </c>
      <c r="D267" s="92">
        <v>8.27</v>
      </c>
      <c r="E267" s="11">
        <v>0.6</v>
      </c>
      <c r="F267" s="11">
        <v>1.1000000000000001</v>
      </c>
      <c r="G267" s="11">
        <v>1.03</v>
      </c>
      <c r="H267" s="11">
        <v>1.4</v>
      </c>
      <c r="I267" s="144">
        <f t="shared" si="18"/>
        <v>7.0639460000000005</v>
      </c>
      <c r="J267" s="136"/>
    </row>
    <row r="268" spans="1:20">
      <c r="A268" s="11" t="s">
        <v>53</v>
      </c>
      <c r="B268" s="11" t="s">
        <v>780</v>
      </c>
      <c r="C268" s="143" t="s">
        <v>789</v>
      </c>
      <c r="D268" s="92">
        <v>9.6</v>
      </c>
      <c r="E268" s="11">
        <v>0.6</v>
      </c>
      <c r="F268" s="11">
        <v>1.1000000000000001</v>
      </c>
      <c r="G268" s="11">
        <v>1.03</v>
      </c>
      <c r="H268" s="11">
        <v>1.4</v>
      </c>
      <c r="I268" s="144">
        <f t="shared" si="18"/>
        <v>7.9680800000000005</v>
      </c>
      <c r="J268" s="136"/>
    </row>
    <row r="269" spans="1:20">
      <c r="A269" s="11" t="s">
        <v>55</v>
      </c>
      <c r="B269" s="11" t="s">
        <v>781</v>
      </c>
      <c r="C269" s="143" t="s">
        <v>789</v>
      </c>
      <c r="D269" s="92">
        <v>12.8</v>
      </c>
      <c r="E269" s="11">
        <v>0.6</v>
      </c>
      <c r="F269" s="11">
        <v>1.1000000000000001</v>
      </c>
      <c r="G269" s="11">
        <v>1.03</v>
      </c>
      <c r="H269" s="11">
        <v>1.69</v>
      </c>
      <c r="I269" s="144">
        <f t="shared" si="18"/>
        <v>10.44214</v>
      </c>
      <c r="J269" s="136"/>
    </row>
    <row r="270" spans="1:20">
      <c r="A270" s="11" t="s">
        <v>57</v>
      </c>
      <c r="B270" s="11" t="s">
        <v>782</v>
      </c>
      <c r="C270" s="143" t="s">
        <v>789</v>
      </c>
      <c r="D270" s="92">
        <v>15.36</v>
      </c>
      <c r="E270" s="11">
        <v>0.6</v>
      </c>
      <c r="F270" s="11">
        <v>1.1499999999999999</v>
      </c>
      <c r="G270" s="11">
        <v>1.03</v>
      </c>
      <c r="H270" s="11">
        <v>2.0499999999999998</v>
      </c>
      <c r="I270" s="144">
        <f t="shared" si="18"/>
        <v>13.027851999999999</v>
      </c>
      <c r="J270" s="136"/>
    </row>
    <row r="271" spans="1:20">
      <c r="A271" s="11" t="s">
        <v>59</v>
      </c>
      <c r="B271" s="11" t="s">
        <v>783</v>
      </c>
      <c r="C271" s="143" t="s">
        <v>789</v>
      </c>
      <c r="D271" s="92">
        <v>17.809999999999999</v>
      </c>
      <c r="E271" s="11">
        <v>0.6</v>
      </c>
      <c r="F271" s="11">
        <v>1.1499999999999999</v>
      </c>
      <c r="G271" s="11">
        <v>1.03</v>
      </c>
      <c r="H271" s="11">
        <v>2.59</v>
      </c>
      <c r="I271" s="144">
        <f t="shared" si="18"/>
        <v>15.325266999999997</v>
      </c>
      <c r="J271" s="136"/>
    </row>
    <row r="272" spans="1:20">
      <c r="A272" s="11" t="s">
        <v>60</v>
      </c>
      <c r="B272" s="11" t="s">
        <v>784</v>
      </c>
      <c r="C272" s="143" t="s">
        <v>789</v>
      </c>
      <c r="D272" s="92">
        <v>21.87</v>
      </c>
      <c r="E272" s="11">
        <v>0.6</v>
      </c>
      <c r="F272" s="11">
        <v>1.1499999999999999</v>
      </c>
      <c r="G272" s="11">
        <v>1.03</v>
      </c>
      <c r="H272" s="11">
        <v>3.14</v>
      </c>
      <c r="I272" s="144">
        <f t="shared" si="18"/>
        <v>18.777208999999999</v>
      </c>
      <c r="J272" s="136"/>
    </row>
    <row r="273" spans="1:10">
      <c r="A273" s="11" t="s">
        <v>62</v>
      </c>
      <c r="B273" s="11" t="s">
        <v>785</v>
      </c>
      <c r="C273" s="143" t="s">
        <v>789</v>
      </c>
      <c r="D273" s="92">
        <v>28.4</v>
      </c>
      <c r="E273" s="11">
        <v>0.6</v>
      </c>
      <c r="F273" s="11">
        <v>1.1499999999999999</v>
      </c>
      <c r="G273" s="11">
        <v>1.03</v>
      </c>
      <c r="H273" s="11">
        <v>3.86</v>
      </c>
      <c r="I273" s="144">
        <f t="shared" si="18"/>
        <v>24.159679999999998</v>
      </c>
      <c r="J273" s="136"/>
    </row>
    <row r="274" spans="1:10">
      <c r="C274" s="136"/>
      <c r="D274" s="138"/>
      <c r="I274" s="138"/>
      <c r="J274" s="136"/>
    </row>
    <row r="275" spans="1:10">
      <c r="C275" s="136"/>
      <c r="D275" s="138"/>
      <c r="I275" s="138"/>
      <c r="J275" s="136"/>
    </row>
    <row r="276" spans="1:10">
      <c r="A276" s="28" t="s">
        <v>802</v>
      </c>
      <c r="B276" s="135" t="s">
        <v>803</v>
      </c>
      <c r="C276" s="134"/>
      <c r="D276" s="159" t="s">
        <v>768</v>
      </c>
      <c r="I276" s="138"/>
      <c r="J276" s="136"/>
    </row>
    <row r="277" spans="1:10">
      <c r="A277" s="50" t="s">
        <v>769</v>
      </c>
      <c r="B277" s="50"/>
      <c r="C277" s="165" t="s">
        <v>770</v>
      </c>
      <c r="D277" s="166" t="s">
        <v>771</v>
      </c>
      <c r="E277" s="50" t="s">
        <v>613</v>
      </c>
      <c r="F277" s="50" t="s">
        <v>772</v>
      </c>
      <c r="G277" s="50" t="s">
        <v>773</v>
      </c>
      <c r="H277" s="50" t="s">
        <v>774</v>
      </c>
      <c r="I277" s="167" t="s">
        <v>771</v>
      </c>
      <c r="J277" s="136"/>
    </row>
    <row r="278" spans="1:10">
      <c r="A278" s="11" t="s">
        <v>47</v>
      </c>
      <c r="B278" s="11" t="s">
        <v>776</v>
      </c>
      <c r="C278" s="143" t="s">
        <v>804</v>
      </c>
      <c r="D278" s="92">
        <v>10.68</v>
      </c>
      <c r="E278" s="11">
        <v>0.6</v>
      </c>
      <c r="F278" s="11">
        <v>1.1000000000000001</v>
      </c>
      <c r="G278" s="11">
        <v>1.03</v>
      </c>
      <c r="H278" s="11">
        <v>1.01</v>
      </c>
      <c r="I278" s="144">
        <f t="shared" ref="I278:I286" si="19">(((D278*E278)*F278)+H278)*G278</f>
        <v>8.3005639999999996</v>
      </c>
      <c r="J278" s="136"/>
    </row>
    <row r="279" spans="1:10">
      <c r="A279" s="11" t="s">
        <v>49</v>
      </c>
      <c r="B279" s="11" t="s">
        <v>778</v>
      </c>
      <c r="C279" s="143" t="s">
        <v>804</v>
      </c>
      <c r="D279" s="92">
        <v>12.07</v>
      </c>
      <c r="E279" s="11">
        <v>0.6</v>
      </c>
      <c r="F279" s="11">
        <v>1.1000000000000001</v>
      </c>
      <c r="G279" s="11">
        <v>1.03</v>
      </c>
      <c r="H279" s="11">
        <v>1.01</v>
      </c>
      <c r="I279" s="144">
        <f t="shared" si="19"/>
        <v>9.2454860000000014</v>
      </c>
      <c r="J279" s="136"/>
    </row>
    <row r="280" spans="1:10">
      <c r="A280" s="11" t="s">
        <v>51</v>
      </c>
      <c r="B280" s="11" t="s">
        <v>779</v>
      </c>
      <c r="C280" s="143" t="s">
        <v>804</v>
      </c>
      <c r="D280" s="92">
        <v>14.15</v>
      </c>
      <c r="E280" s="11">
        <v>0.6</v>
      </c>
      <c r="F280" s="11">
        <v>1.1000000000000001</v>
      </c>
      <c r="G280" s="11">
        <v>1.03</v>
      </c>
      <c r="H280" s="11">
        <v>1.4</v>
      </c>
      <c r="I280" s="144">
        <f t="shared" si="19"/>
        <v>11.061170000000001</v>
      </c>
      <c r="J280" s="136"/>
    </row>
    <row r="281" spans="1:10">
      <c r="A281" s="11" t="s">
        <v>53</v>
      </c>
      <c r="B281" s="11" t="s">
        <v>780</v>
      </c>
      <c r="C281" s="143" t="s">
        <v>804</v>
      </c>
      <c r="D281" s="92">
        <v>16.059999999999999</v>
      </c>
      <c r="E281" s="11">
        <v>0.6</v>
      </c>
      <c r="F281" s="11">
        <v>1.1000000000000001</v>
      </c>
      <c r="G281" s="11">
        <v>1.03</v>
      </c>
      <c r="H281" s="11">
        <v>1.4</v>
      </c>
      <c r="I281" s="144">
        <f t="shared" si="19"/>
        <v>12.359588</v>
      </c>
      <c r="J281" s="136"/>
    </row>
    <row r="282" spans="1:10">
      <c r="A282" s="11" t="s">
        <v>55</v>
      </c>
      <c r="B282" s="11" t="s">
        <v>781</v>
      </c>
      <c r="C282" s="143" t="s">
        <v>804</v>
      </c>
      <c r="D282" s="92">
        <v>21.3</v>
      </c>
      <c r="E282" s="11">
        <v>0.6</v>
      </c>
      <c r="F282" s="11">
        <v>1.1000000000000001</v>
      </c>
      <c r="G282" s="11">
        <v>1.03</v>
      </c>
      <c r="H282" s="11">
        <v>1.69</v>
      </c>
      <c r="I282" s="144">
        <f t="shared" si="19"/>
        <v>16.22044</v>
      </c>
      <c r="J282" s="136"/>
    </row>
    <row r="283" spans="1:10">
      <c r="A283" s="11" t="s">
        <v>57</v>
      </c>
      <c r="B283" s="11" t="s">
        <v>782</v>
      </c>
      <c r="C283" s="143" t="s">
        <v>804</v>
      </c>
      <c r="D283" s="92">
        <v>24.34</v>
      </c>
      <c r="E283" s="11">
        <v>0.6</v>
      </c>
      <c r="F283" s="11">
        <v>1.1499999999999999</v>
      </c>
      <c r="G283" s="11">
        <v>1.03</v>
      </c>
      <c r="H283" s="11">
        <v>2.0499999999999998</v>
      </c>
      <c r="I283" s="144">
        <f t="shared" si="19"/>
        <v>19.409938</v>
      </c>
      <c r="J283" s="136"/>
    </row>
    <row r="284" spans="1:10">
      <c r="A284" s="11" t="s">
        <v>59</v>
      </c>
      <c r="B284" s="11" t="s">
        <v>783</v>
      </c>
      <c r="C284" s="143" t="s">
        <v>804</v>
      </c>
      <c r="D284" s="92">
        <v>30.89</v>
      </c>
      <c r="E284" s="11">
        <v>0.6</v>
      </c>
      <c r="F284" s="11">
        <v>1.1499999999999999</v>
      </c>
      <c r="G284" s="11">
        <v>1.03</v>
      </c>
      <c r="H284" s="11">
        <v>2.59</v>
      </c>
      <c r="I284" s="144">
        <f t="shared" si="19"/>
        <v>24.621222999999997</v>
      </c>
      <c r="J284" s="136"/>
    </row>
    <row r="285" spans="1:10">
      <c r="A285" s="11" t="s">
        <v>60</v>
      </c>
      <c r="B285" s="11" t="s">
        <v>784</v>
      </c>
      <c r="C285" s="143" t="s">
        <v>804</v>
      </c>
      <c r="D285" s="92">
        <v>52.32</v>
      </c>
      <c r="E285" s="11">
        <v>0.6</v>
      </c>
      <c r="F285" s="11">
        <v>1.1499999999999999</v>
      </c>
      <c r="G285" s="11">
        <v>1.03</v>
      </c>
      <c r="H285" s="11">
        <v>3.14</v>
      </c>
      <c r="I285" s="144">
        <f t="shared" si="19"/>
        <v>40.418024000000003</v>
      </c>
      <c r="J285" s="136"/>
    </row>
    <row r="286" spans="1:10">
      <c r="A286" s="11" t="s">
        <v>62</v>
      </c>
      <c r="B286" s="11" t="s">
        <v>785</v>
      </c>
      <c r="C286" s="143" t="s">
        <v>804</v>
      </c>
      <c r="D286" s="92">
        <v>68.72</v>
      </c>
      <c r="E286" s="11">
        <v>0.6</v>
      </c>
      <c r="F286" s="11">
        <v>1.1499999999999999</v>
      </c>
      <c r="G286" s="11">
        <v>1.03</v>
      </c>
      <c r="H286" s="11">
        <v>3.86</v>
      </c>
      <c r="I286" s="144">
        <f t="shared" si="19"/>
        <v>52.815103999999998</v>
      </c>
      <c r="J286" s="136"/>
    </row>
    <row r="287" spans="1:10">
      <c r="C287" s="136"/>
      <c r="D287" s="138"/>
      <c r="I287" s="138"/>
      <c r="J287" s="136"/>
    </row>
    <row r="288" spans="1:10">
      <c r="C288" s="136"/>
      <c r="D288" s="138"/>
      <c r="I288" s="138"/>
      <c r="J288" s="136"/>
    </row>
    <row r="289" spans="1:10">
      <c r="A289" s="28" t="s">
        <v>802</v>
      </c>
      <c r="B289" s="135" t="s">
        <v>803</v>
      </c>
      <c r="C289" s="134"/>
      <c r="D289" s="159" t="s">
        <v>768</v>
      </c>
      <c r="I289" s="138"/>
      <c r="J289" s="136"/>
    </row>
    <row r="290" spans="1:10">
      <c r="A290" s="50" t="s">
        <v>769</v>
      </c>
      <c r="B290" s="50"/>
      <c r="C290" s="165" t="s">
        <v>770</v>
      </c>
      <c r="D290" s="166" t="s">
        <v>771</v>
      </c>
      <c r="E290" s="50" t="s">
        <v>613</v>
      </c>
      <c r="F290" s="50" t="s">
        <v>772</v>
      </c>
      <c r="G290" s="50" t="s">
        <v>773</v>
      </c>
      <c r="H290" s="50" t="s">
        <v>774</v>
      </c>
      <c r="I290" s="167" t="s">
        <v>771</v>
      </c>
      <c r="J290" s="136"/>
    </row>
    <row r="291" spans="1:10">
      <c r="A291" s="11" t="s">
        <v>47</v>
      </c>
      <c r="B291" s="11" t="s">
        <v>776</v>
      </c>
      <c r="C291" s="143" t="s">
        <v>777</v>
      </c>
      <c r="D291" s="92">
        <v>14.24</v>
      </c>
      <c r="E291" s="11">
        <v>0.6</v>
      </c>
      <c r="F291" s="11">
        <v>1.1000000000000001</v>
      </c>
      <c r="G291" s="11">
        <v>1.03</v>
      </c>
      <c r="H291" s="11">
        <v>1.01</v>
      </c>
      <c r="I291" s="144">
        <f t="shared" ref="I291:I299" si="20">(((D291*E291)*F291)+H291)*G291</f>
        <v>10.720652000000001</v>
      </c>
      <c r="J291" s="136"/>
    </row>
    <row r="292" spans="1:10">
      <c r="A292" s="11" t="s">
        <v>49</v>
      </c>
      <c r="B292" s="11" t="s">
        <v>778</v>
      </c>
      <c r="C292" s="143" t="s">
        <v>777</v>
      </c>
      <c r="D292" s="92">
        <v>16.23</v>
      </c>
      <c r="E292" s="11">
        <v>0.6</v>
      </c>
      <c r="F292" s="11">
        <v>1.1000000000000001</v>
      </c>
      <c r="G292" s="11">
        <v>1.03</v>
      </c>
      <c r="H292" s="11">
        <v>1.01</v>
      </c>
      <c r="I292" s="144">
        <f t="shared" si="20"/>
        <v>12.073454</v>
      </c>
      <c r="J292" s="136"/>
    </row>
    <row r="293" spans="1:10">
      <c r="A293" s="11" t="s">
        <v>51</v>
      </c>
      <c r="B293" s="11" t="s">
        <v>779</v>
      </c>
      <c r="C293" s="143" t="s">
        <v>777</v>
      </c>
      <c r="D293" s="92">
        <v>18.329999999999998</v>
      </c>
      <c r="E293" s="11">
        <v>0.6</v>
      </c>
      <c r="F293" s="11">
        <v>1.1000000000000001</v>
      </c>
      <c r="G293" s="11">
        <v>1.03</v>
      </c>
      <c r="H293" s="11">
        <v>1.4</v>
      </c>
      <c r="I293" s="144">
        <f t="shared" si="20"/>
        <v>13.902734000000001</v>
      </c>
      <c r="J293" s="136"/>
    </row>
    <row r="294" spans="1:10">
      <c r="A294" s="11" t="s">
        <v>53</v>
      </c>
      <c r="B294" s="11" t="s">
        <v>780</v>
      </c>
      <c r="C294" s="143" t="s">
        <v>777</v>
      </c>
      <c r="D294" s="92">
        <v>20.9</v>
      </c>
      <c r="E294" s="11">
        <v>0.6</v>
      </c>
      <c r="F294" s="11">
        <v>1.1000000000000001</v>
      </c>
      <c r="G294" s="11">
        <v>1.03</v>
      </c>
      <c r="H294" s="11">
        <v>1.4</v>
      </c>
      <c r="I294" s="144">
        <f t="shared" si="20"/>
        <v>15.649820000000002</v>
      </c>
      <c r="J294" s="136"/>
    </row>
    <row r="295" spans="1:10">
      <c r="A295" s="11" t="s">
        <v>55</v>
      </c>
      <c r="B295" s="11" t="s">
        <v>781</v>
      </c>
      <c r="C295" s="143" t="s">
        <v>777</v>
      </c>
      <c r="D295" s="92">
        <v>26.19</v>
      </c>
      <c r="E295" s="11">
        <v>0.6</v>
      </c>
      <c r="F295" s="11">
        <v>1.1000000000000001</v>
      </c>
      <c r="G295" s="11">
        <v>1.03</v>
      </c>
      <c r="H295" s="11">
        <v>1.69</v>
      </c>
      <c r="I295" s="144">
        <f t="shared" si="20"/>
        <v>19.544662000000006</v>
      </c>
      <c r="J295" s="136"/>
    </row>
    <row r="296" spans="1:10">
      <c r="A296" s="11" t="s">
        <v>57</v>
      </c>
      <c r="B296" s="11" t="s">
        <v>782</v>
      </c>
      <c r="C296" s="143" t="s">
        <v>777</v>
      </c>
      <c r="D296" s="92">
        <v>30.35</v>
      </c>
      <c r="E296" s="11">
        <v>0.6</v>
      </c>
      <c r="F296" s="11">
        <v>1.1499999999999999</v>
      </c>
      <c r="G296" s="11">
        <v>1.03</v>
      </c>
      <c r="H296" s="11">
        <v>2.0499999999999998</v>
      </c>
      <c r="I296" s="144">
        <f t="shared" si="20"/>
        <v>23.681245000000001</v>
      </c>
      <c r="J296" s="136"/>
    </row>
    <row r="297" spans="1:10">
      <c r="A297" s="11" t="s">
        <v>59</v>
      </c>
      <c r="B297" s="11" t="s">
        <v>783</v>
      </c>
      <c r="C297" s="143" t="s">
        <v>777</v>
      </c>
      <c r="D297" s="92">
        <v>57.1</v>
      </c>
      <c r="E297" s="11">
        <v>0.6</v>
      </c>
      <c r="F297" s="11">
        <v>1.1499999999999999</v>
      </c>
      <c r="G297" s="11">
        <v>1.03</v>
      </c>
      <c r="H297" s="11">
        <v>2.59</v>
      </c>
      <c r="I297" s="144">
        <f t="shared" si="20"/>
        <v>43.24866999999999</v>
      </c>
      <c r="J297" s="136"/>
    </row>
    <row r="298" spans="1:10">
      <c r="A298" s="11" t="s">
        <v>60</v>
      </c>
      <c r="B298" s="11" t="s">
        <v>784</v>
      </c>
      <c r="C298" s="143" t="s">
        <v>777</v>
      </c>
      <c r="D298" s="92">
        <v>75.87</v>
      </c>
      <c r="E298" s="11">
        <v>0.6</v>
      </c>
      <c r="F298" s="11">
        <v>1.1499999999999999</v>
      </c>
      <c r="G298" s="11">
        <v>1.03</v>
      </c>
      <c r="H298" s="11">
        <v>3.14</v>
      </c>
      <c r="I298" s="144">
        <f t="shared" si="20"/>
        <v>57.155009</v>
      </c>
      <c r="J298" s="136"/>
    </row>
    <row r="299" spans="1:10">
      <c r="A299" s="11" t="s">
        <v>62</v>
      </c>
      <c r="B299" s="11" t="s">
        <v>785</v>
      </c>
      <c r="C299" s="143" t="s">
        <v>777</v>
      </c>
      <c r="D299" s="92">
        <v>99.39</v>
      </c>
      <c r="E299" s="11">
        <v>0.6</v>
      </c>
      <c r="F299" s="11">
        <v>1.1499999999999999</v>
      </c>
      <c r="G299" s="11">
        <v>1.03</v>
      </c>
      <c r="H299" s="11">
        <v>3.86</v>
      </c>
      <c r="I299" s="144">
        <f t="shared" si="20"/>
        <v>74.612273000000002</v>
      </c>
      <c r="J299" s="136"/>
    </row>
    <row r="300" spans="1:10">
      <c r="C300" s="136"/>
      <c r="D300" s="138"/>
      <c r="I300" s="138"/>
      <c r="J300" s="136"/>
    </row>
    <row r="301" spans="1:10">
      <c r="C301" s="136"/>
      <c r="D301" s="138"/>
      <c r="I301" s="138"/>
      <c r="J301" s="136"/>
    </row>
    <row r="302" spans="1:10">
      <c r="C302" s="136"/>
      <c r="D302" s="138"/>
      <c r="I302" s="138"/>
      <c r="J302" s="136"/>
    </row>
    <row r="303" spans="1:10">
      <c r="C303" s="136"/>
      <c r="D303" s="138"/>
      <c r="I303" s="138"/>
      <c r="J303" s="136"/>
    </row>
    <row r="304" spans="1:10">
      <c r="C304" s="136"/>
      <c r="D304" s="138"/>
      <c r="I304" s="138"/>
      <c r="J304" s="136"/>
    </row>
    <row r="305" spans="1:22">
      <c r="C305" s="136"/>
      <c r="D305" s="138"/>
      <c r="I305" s="138"/>
      <c r="J305" s="136"/>
    </row>
    <row r="306" spans="1:22">
      <c r="C306" s="136"/>
      <c r="D306" s="138"/>
      <c r="I306" s="138"/>
      <c r="J306" s="136"/>
    </row>
    <row r="307" spans="1:22">
      <c r="C307" s="136"/>
      <c r="D307" s="138"/>
      <c r="I307" s="138"/>
      <c r="J307" s="136"/>
    </row>
    <row r="308" spans="1:22">
      <c r="C308" s="136"/>
      <c r="D308" s="138"/>
      <c r="I308" s="138"/>
      <c r="J308" s="136"/>
      <c r="V308" s="28" t="s">
        <v>805</v>
      </c>
    </row>
    <row r="309" spans="1:22">
      <c r="A309" s="28"/>
      <c r="B309" s="134"/>
      <c r="C309" s="159"/>
      <c r="H309" s="138"/>
      <c r="I309" s="136"/>
      <c r="J309" s="136"/>
      <c r="L309" s="28" t="s">
        <v>805</v>
      </c>
      <c r="M309" s="134" t="s">
        <v>806</v>
      </c>
      <c r="N309" s="159" t="s">
        <v>768</v>
      </c>
      <c r="S309" s="138"/>
      <c r="T309" s="136"/>
      <c r="V309" s="11" t="s">
        <v>769</v>
      </c>
    </row>
    <row r="310" spans="1:22">
      <c r="A310" s="11"/>
      <c r="B310" s="143"/>
      <c r="C310" s="92"/>
      <c r="D310" s="11"/>
      <c r="E310" s="11"/>
      <c r="F310" s="11"/>
      <c r="G310" s="11"/>
      <c r="H310" s="147"/>
      <c r="I310" s="168"/>
      <c r="J310" s="136"/>
      <c r="L310" s="11" t="s">
        <v>769</v>
      </c>
      <c r="M310" s="143" t="s">
        <v>770</v>
      </c>
      <c r="N310" s="92" t="s">
        <v>771</v>
      </c>
      <c r="O310" s="11" t="s">
        <v>613</v>
      </c>
      <c r="P310" s="11" t="s">
        <v>772</v>
      </c>
      <c r="Q310" s="11" t="s">
        <v>773</v>
      </c>
      <c r="R310" s="11" t="s">
        <v>774</v>
      </c>
      <c r="S310" s="147" t="s">
        <v>771</v>
      </c>
      <c r="T310" s="136" t="s">
        <v>775</v>
      </c>
      <c r="V310" s="11" t="s">
        <v>807</v>
      </c>
    </row>
    <row r="311" spans="1:22">
      <c r="A311" s="11"/>
      <c r="B311" s="143"/>
      <c r="C311" s="92"/>
      <c r="D311" s="11"/>
      <c r="E311" s="11"/>
      <c r="F311" s="11"/>
      <c r="G311" s="11"/>
      <c r="H311" s="144"/>
      <c r="I311" s="168"/>
      <c r="J311" s="136"/>
      <c r="L311" s="11" t="s">
        <v>47</v>
      </c>
      <c r="M311" s="143">
        <v>20</v>
      </c>
      <c r="N311" s="92">
        <v>19.600000000000001</v>
      </c>
      <c r="O311" s="11">
        <v>0.7</v>
      </c>
      <c r="P311" s="11">
        <v>1.1000000000000001</v>
      </c>
      <c r="Q311" s="11">
        <v>1.03</v>
      </c>
      <c r="R311" s="11">
        <v>1.01</v>
      </c>
      <c r="S311" s="144">
        <f t="shared" ref="S311:S320" si="21">(((N311*O311)*P311)+R311)*Q311</f>
        <v>16.585060000000006</v>
      </c>
      <c r="T311" s="136">
        <v>23</v>
      </c>
      <c r="U311" t="s">
        <v>807</v>
      </c>
      <c r="V311" s="11" t="s">
        <v>808</v>
      </c>
    </row>
    <row r="312" spans="1:22">
      <c r="A312" s="11"/>
      <c r="B312" s="143"/>
      <c r="C312" s="92"/>
      <c r="D312" s="11"/>
      <c r="E312" s="11"/>
      <c r="F312" s="11"/>
      <c r="G312" s="11"/>
      <c r="H312" s="144"/>
      <c r="I312" s="168"/>
      <c r="J312" s="136"/>
      <c r="L312" s="11" t="s">
        <v>49</v>
      </c>
      <c r="M312" s="143">
        <v>20</v>
      </c>
      <c r="N312" s="92">
        <v>20.7</v>
      </c>
      <c r="O312" s="11">
        <v>0.7</v>
      </c>
      <c r="P312" s="11">
        <v>1.1000000000000001</v>
      </c>
      <c r="Q312" s="11">
        <v>1.03</v>
      </c>
      <c r="R312" s="11">
        <v>1.01</v>
      </c>
      <c r="S312" s="144">
        <f t="shared" si="21"/>
        <v>17.457470000000001</v>
      </c>
      <c r="T312" s="136">
        <v>23</v>
      </c>
      <c r="V312" s="11" t="s">
        <v>809</v>
      </c>
    </row>
    <row r="313" spans="1:22">
      <c r="A313" s="11"/>
      <c r="B313" s="143"/>
      <c r="C313" s="92"/>
      <c r="D313" s="11"/>
      <c r="E313" s="11"/>
      <c r="F313" s="11"/>
      <c r="G313" s="11"/>
      <c r="H313" s="144"/>
      <c r="I313" s="168"/>
      <c r="J313" s="136"/>
      <c r="L313" s="11" t="s">
        <v>51</v>
      </c>
      <c r="M313" s="143">
        <v>20</v>
      </c>
      <c r="N313" s="92">
        <v>21.56</v>
      </c>
      <c r="O313" s="11">
        <v>0.7</v>
      </c>
      <c r="P313" s="11">
        <v>1.1000000000000001</v>
      </c>
      <c r="Q313" s="11">
        <v>1.03</v>
      </c>
      <c r="R313" s="11">
        <v>1.4</v>
      </c>
      <c r="S313" s="144">
        <f t="shared" si="21"/>
        <v>18.541235999999998</v>
      </c>
      <c r="T313" s="136">
        <v>25</v>
      </c>
      <c r="V313" s="11" t="s">
        <v>265</v>
      </c>
    </row>
    <row r="314" spans="1:22">
      <c r="A314" s="11"/>
      <c r="B314" s="143"/>
      <c r="C314" s="92"/>
      <c r="D314" s="11"/>
      <c r="E314" s="11"/>
      <c r="F314" s="11"/>
      <c r="G314" s="11"/>
      <c r="H314" s="144"/>
      <c r="I314" s="168"/>
      <c r="J314" s="136"/>
      <c r="L314" s="11" t="s">
        <v>53</v>
      </c>
      <c r="M314" s="143">
        <v>20</v>
      </c>
      <c r="N314" s="92">
        <v>23.14</v>
      </c>
      <c r="O314" s="11">
        <v>0.7</v>
      </c>
      <c r="P314" s="11">
        <v>1.1000000000000001</v>
      </c>
      <c r="Q314" s="11">
        <v>1.03</v>
      </c>
      <c r="R314" s="11">
        <v>1.4</v>
      </c>
      <c r="S314" s="144">
        <f t="shared" si="21"/>
        <v>19.794333999999999</v>
      </c>
      <c r="T314" s="136">
        <v>25</v>
      </c>
      <c r="V314" s="11" t="s">
        <v>810</v>
      </c>
    </row>
    <row r="315" spans="1:22">
      <c r="A315" s="11"/>
      <c r="B315" s="143"/>
      <c r="C315" s="92"/>
      <c r="D315" s="11"/>
      <c r="E315" s="11"/>
      <c r="F315" s="11"/>
      <c r="G315" s="11"/>
      <c r="H315" s="144"/>
      <c r="I315" s="168"/>
      <c r="J315" s="136"/>
      <c r="L315" s="11" t="s">
        <v>55</v>
      </c>
      <c r="M315" s="143">
        <v>20</v>
      </c>
      <c r="N315" s="92">
        <v>23.82</v>
      </c>
      <c r="O315" s="11">
        <v>0.7</v>
      </c>
      <c r="P315" s="11">
        <v>1.1000000000000001</v>
      </c>
      <c r="Q315" s="11">
        <v>1.03</v>
      </c>
      <c r="R315" s="11">
        <v>1.69</v>
      </c>
      <c r="S315" s="144">
        <f t="shared" si="21"/>
        <v>20.632342000000001</v>
      </c>
      <c r="T315" s="136">
        <v>25</v>
      </c>
      <c r="V315" s="11" t="s">
        <v>811</v>
      </c>
    </row>
    <row r="316" spans="1:22">
      <c r="A316" s="11"/>
      <c r="B316" s="143"/>
      <c r="C316" s="92"/>
      <c r="D316" s="11"/>
      <c r="E316" s="11"/>
      <c r="F316" s="11"/>
      <c r="G316" s="11"/>
      <c r="H316" s="144"/>
      <c r="I316" s="168"/>
      <c r="J316" s="136"/>
      <c r="L316" s="11" t="s">
        <v>57</v>
      </c>
      <c r="M316" s="143">
        <v>20</v>
      </c>
      <c r="N316" s="92">
        <v>28.64</v>
      </c>
      <c r="O316" s="11">
        <v>0.7</v>
      </c>
      <c r="P316" s="11">
        <v>1.1499999999999999</v>
      </c>
      <c r="Q316" s="11">
        <v>1.03</v>
      </c>
      <c r="R316" s="11">
        <v>2.0499999999999998</v>
      </c>
      <c r="S316" s="144">
        <f t="shared" si="21"/>
        <v>25.858355999999997</v>
      </c>
      <c r="T316" s="136">
        <v>25</v>
      </c>
      <c r="V316" s="11" t="s">
        <v>812</v>
      </c>
    </row>
    <row r="317" spans="1:22">
      <c r="A317" s="11"/>
      <c r="B317" s="143"/>
      <c r="C317" s="92"/>
      <c r="D317" s="11"/>
      <c r="E317" s="11"/>
      <c r="F317" s="11"/>
      <c r="G317" s="11"/>
      <c r="H317" s="144"/>
      <c r="I317" s="168"/>
      <c r="J317" s="136"/>
      <c r="L317" s="11" t="s">
        <v>59</v>
      </c>
      <c r="M317" s="143">
        <v>20</v>
      </c>
      <c r="N317" s="92">
        <v>34.67</v>
      </c>
      <c r="O317" s="11">
        <v>0.7</v>
      </c>
      <c r="P317" s="11">
        <v>1.1499999999999999</v>
      </c>
      <c r="Q317" s="11">
        <v>1.03</v>
      </c>
      <c r="R317" s="11">
        <v>2.59</v>
      </c>
      <c r="S317" s="144">
        <f t="shared" si="21"/>
        <v>31.414330499999998</v>
      </c>
      <c r="T317" s="136">
        <v>25</v>
      </c>
      <c r="V317" s="11" t="s">
        <v>813</v>
      </c>
    </row>
    <row r="318" spans="1:22">
      <c r="A318" s="11"/>
      <c r="B318" s="143"/>
      <c r="C318" s="92"/>
      <c r="D318" s="11"/>
      <c r="E318" s="11"/>
      <c r="F318" s="11"/>
      <c r="G318" s="11"/>
      <c r="H318" s="144"/>
      <c r="I318" s="168"/>
      <c r="J318" s="136"/>
      <c r="L318" s="11" t="s">
        <v>60</v>
      </c>
      <c r="M318" s="143">
        <v>20</v>
      </c>
      <c r="N318" s="92">
        <v>46.24</v>
      </c>
      <c r="O318" s="11">
        <v>0.7</v>
      </c>
      <c r="P318" s="11">
        <v>1.1499999999999999</v>
      </c>
      <c r="Q318" s="11">
        <v>1.03</v>
      </c>
      <c r="R318" s="11">
        <v>3.14</v>
      </c>
      <c r="S318" s="144">
        <f t="shared" si="21"/>
        <v>41.574095999999997</v>
      </c>
      <c r="T318" s="136">
        <v>30</v>
      </c>
      <c r="V318" s="11" t="s">
        <v>814</v>
      </c>
    </row>
    <row r="319" spans="1:22">
      <c r="A319" s="11"/>
      <c r="B319" s="143"/>
      <c r="C319" s="92"/>
      <c r="D319" s="11"/>
      <c r="E319" s="11"/>
      <c r="F319" s="11"/>
      <c r="G319" s="11"/>
      <c r="H319" s="144"/>
      <c r="I319" s="168"/>
      <c r="J319" s="136"/>
      <c r="L319" s="11" t="s">
        <v>62</v>
      </c>
      <c r="M319" s="143">
        <v>25</v>
      </c>
      <c r="N319" s="92">
        <v>55.89</v>
      </c>
      <c r="O319" s="11">
        <v>0.7</v>
      </c>
      <c r="P319" s="11">
        <v>1.1499999999999999</v>
      </c>
      <c r="Q319" s="11">
        <v>1.03</v>
      </c>
      <c r="R319" s="11">
        <v>3.86</v>
      </c>
      <c r="S319" s="144">
        <f t="shared" si="21"/>
        <v>50.316993499999995</v>
      </c>
      <c r="T319" s="145">
        <v>30</v>
      </c>
      <c r="V319" s="11" t="s">
        <v>815</v>
      </c>
    </row>
    <row r="320" spans="1:22">
      <c r="A320" s="11"/>
      <c r="B320" s="143"/>
      <c r="C320" s="92"/>
      <c r="D320" s="11"/>
      <c r="E320" s="11"/>
      <c r="F320" s="11"/>
      <c r="G320" s="11"/>
      <c r="H320" s="144"/>
      <c r="I320" s="168"/>
      <c r="J320" s="136"/>
      <c r="L320" s="11" t="s">
        <v>63</v>
      </c>
      <c r="M320" s="143">
        <v>25</v>
      </c>
      <c r="N320" s="92">
        <v>73.760000000000005</v>
      </c>
      <c r="O320" s="11">
        <v>0.7</v>
      </c>
      <c r="P320" s="11">
        <v>1.1499999999999999</v>
      </c>
      <c r="Q320" s="11">
        <v>1.03</v>
      </c>
      <c r="R320" s="11">
        <v>4.7699999999999996</v>
      </c>
      <c r="S320" s="144">
        <f t="shared" si="21"/>
        <v>66.071203999999994</v>
      </c>
      <c r="T320" s="145">
        <v>35</v>
      </c>
      <c r="V320" s="11" t="s">
        <v>816</v>
      </c>
    </row>
    <row r="321" spans="1:22">
      <c r="A321" s="11"/>
      <c r="B321" s="143"/>
      <c r="C321" s="92"/>
      <c r="D321" s="11"/>
      <c r="E321" s="11"/>
      <c r="F321" s="11"/>
      <c r="G321" s="11"/>
      <c r="H321" s="144"/>
      <c r="I321" s="168"/>
      <c r="J321" s="136"/>
      <c r="L321" s="11"/>
      <c r="M321" s="143"/>
      <c r="N321" s="92"/>
      <c r="O321" s="11"/>
      <c r="P321" s="11"/>
      <c r="Q321" s="11"/>
      <c r="R321" s="11"/>
      <c r="S321" s="144"/>
      <c r="T321" s="145">
        <v>35</v>
      </c>
      <c r="V321" s="11"/>
    </row>
    <row r="322" spans="1:22">
      <c r="C322" s="136"/>
      <c r="D322" s="138"/>
      <c r="I322" s="138"/>
      <c r="J322" s="136"/>
    </row>
    <row r="323" spans="1:22">
      <c r="C323" s="136"/>
      <c r="D323" s="138"/>
      <c r="I323" s="138"/>
      <c r="J323" s="136"/>
    </row>
    <row r="324" spans="1:22">
      <c r="A324" s="28"/>
      <c r="B324" s="135"/>
      <c r="C324" s="136"/>
      <c r="D324" s="137"/>
      <c r="I324" s="138"/>
      <c r="J324" s="136"/>
    </row>
    <row r="325" spans="1:22">
      <c r="A325" s="11"/>
      <c r="B325" s="11"/>
      <c r="C325" s="143"/>
      <c r="D325" s="92"/>
      <c r="E325" s="11"/>
      <c r="F325" s="11"/>
      <c r="G325" s="11"/>
      <c r="H325" s="11"/>
      <c r="I325" s="147"/>
      <c r="J325" s="136"/>
    </row>
    <row r="326" spans="1:22">
      <c r="A326" s="11"/>
      <c r="B326" s="11"/>
      <c r="C326" s="143"/>
      <c r="D326" s="92"/>
      <c r="E326" s="11"/>
      <c r="F326" s="11"/>
      <c r="G326" s="11"/>
      <c r="H326" s="11"/>
      <c r="I326" s="144"/>
      <c r="J326" s="136"/>
    </row>
    <row r="327" spans="1:22">
      <c r="A327" s="11"/>
      <c r="B327" s="11"/>
      <c r="C327" s="143"/>
      <c r="D327" s="92"/>
      <c r="E327" s="11"/>
      <c r="F327" s="11"/>
      <c r="G327" s="11"/>
      <c r="H327" s="11"/>
      <c r="I327" s="144"/>
      <c r="J327" s="136"/>
    </row>
    <row r="328" spans="1:22">
      <c r="A328" s="11"/>
      <c r="B328" s="11"/>
      <c r="C328" s="143"/>
      <c r="D328" s="92"/>
      <c r="E328" s="11"/>
      <c r="F328" s="11"/>
      <c r="G328" s="11"/>
      <c r="H328" s="11"/>
      <c r="I328" s="144"/>
      <c r="J328" s="136"/>
    </row>
    <row r="329" spans="1:22">
      <c r="A329" s="11"/>
      <c r="B329" s="11"/>
      <c r="C329" s="143"/>
      <c r="D329" s="92"/>
      <c r="E329" s="11"/>
      <c r="F329" s="11"/>
      <c r="G329" s="11"/>
      <c r="H329" s="11"/>
      <c r="I329" s="144"/>
      <c r="J329" s="136"/>
    </row>
    <row r="330" spans="1:22">
      <c r="C330" s="136"/>
      <c r="D330" s="138"/>
      <c r="I330" s="138"/>
      <c r="J330" s="136"/>
    </row>
    <row r="331" spans="1:22">
      <c r="C331" s="136"/>
      <c r="D331" s="138"/>
      <c r="I331" s="138"/>
      <c r="J331" s="136"/>
    </row>
    <row r="332" spans="1:22">
      <c r="C332" s="136"/>
      <c r="D332" s="138"/>
      <c r="I332" s="138"/>
      <c r="J332" s="136"/>
    </row>
    <row r="333" spans="1:22">
      <c r="C333" s="136"/>
      <c r="D333" s="138"/>
      <c r="I333" s="138"/>
      <c r="J333" s="136"/>
    </row>
    <row r="334" spans="1:22">
      <c r="B334" s="28"/>
      <c r="C334" s="136"/>
      <c r="D334" s="138"/>
      <c r="I334" s="138"/>
      <c r="J334" s="136"/>
    </row>
    <row r="335" spans="1:22">
      <c r="B335" s="28"/>
      <c r="C335" s="136"/>
      <c r="D335" s="138"/>
      <c r="I335" s="138"/>
      <c r="J335" s="136"/>
    </row>
    <row r="336" spans="1:22">
      <c r="B336" s="131"/>
      <c r="C336" s="132"/>
      <c r="D336" s="159"/>
      <c r="E336" s="169"/>
      <c r="F336" s="169"/>
      <c r="G336" s="169"/>
      <c r="H336" s="169"/>
      <c r="I336" s="170"/>
      <c r="J336" s="138"/>
      <c r="K336" s="136"/>
      <c r="M336" s="131" t="s">
        <v>805</v>
      </c>
      <c r="N336" s="132" t="s">
        <v>806</v>
      </c>
      <c r="O336" s="159" t="s">
        <v>768</v>
      </c>
      <c r="P336" s="169"/>
      <c r="Q336" s="169"/>
      <c r="R336" s="169"/>
      <c r="S336" s="169"/>
      <c r="T336" s="170"/>
      <c r="U336" s="138"/>
      <c r="V336" s="136"/>
    </row>
    <row r="337" spans="2:22">
      <c r="B337" s="11"/>
      <c r="C337" s="143"/>
      <c r="D337" s="92"/>
      <c r="E337" s="11"/>
      <c r="F337" s="11"/>
      <c r="G337" s="11"/>
      <c r="H337" s="11"/>
      <c r="I337" s="147"/>
      <c r="J337" s="171"/>
      <c r="K337" s="136" t="s">
        <v>775</v>
      </c>
      <c r="M337" s="11" t="s">
        <v>769</v>
      </c>
      <c r="N337" s="143" t="s">
        <v>770</v>
      </c>
      <c r="O337" s="92" t="s">
        <v>771</v>
      </c>
      <c r="P337" s="11" t="s">
        <v>613</v>
      </c>
      <c r="Q337" s="11" t="s">
        <v>772</v>
      </c>
      <c r="R337" s="11" t="s">
        <v>773</v>
      </c>
      <c r="S337" s="11" t="s">
        <v>774</v>
      </c>
      <c r="T337" s="147" t="s">
        <v>771</v>
      </c>
      <c r="U337" s="171"/>
      <c r="V337" s="136" t="s">
        <v>775</v>
      </c>
    </row>
    <row r="338" spans="2:22">
      <c r="B338" s="11"/>
      <c r="C338" s="172"/>
      <c r="D338" s="92"/>
      <c r="E338" s="11"/>
      <c r="F338" s="11"/>
      <c r="G338" s="11"/>
      <c r="H338" s="11"/>
      <c r="I338" s="144"/>
      <c r="J338" s="173"/>
      <c r="K338" s="136">
        <v>23</v>
      </c>
      <c r="M338" s="11" t="s">
        <v>47</v>
      </c>
      <c r="N338" s="172">
        <v>20</v>
      </c>
      <c r="O338" s="92">
        <v>19.600000000000001</v>
      </c>
      <c r="P338" s="11">
        <v>0.7</v>
      </c>
      <c r="Q338" s="11">
        <v>1.1000000000000001</v>
      </c>
      <c r="R338" s="11">
        <v>1.03</v>
      </c>
      <c r="S338" s="11">
        <v>1.01</v>
      </c>
      <c r="T338" s="144">
        <f t="shared" ref="T338:T346" si="22">(((O338*P338)*Q338)+S338)*R338</f>
        <v>16.585060000000006</v>
      </c>
      <c r="U338" s="173"/>
      <c r="V338" s="136">
        <v>23</v>
      </c>
    </row>
    <row r="339" spans="2:22">
      <c r="B339" s="11"/>
      <c r="C339" s="172"/>
      <c r="D339" s="92"/>
      <c r="E339" s="11"/>
      <c r="F339" s="11"/>
      <c r="G339" s="11"/>
      <c r="H339" s="11"/>
      <c r="I339" s="144"/>
      <c r="J339" s="173"/>
      <c r="K339" s="136">
        <v>23</v>
      </c>
      <c r="M339" s="11" t="s">
        <v>49</v>
      </c>
      <c r="N339" s="172">
        <v>20</v>
      </c>
      <c r="O339" s="92">
        <v>20.7</v>
      </c>
      <c r="P339" s="11">
        <v>0.7</v>
      </c>
      <c r="Q339" s="11">
        <v>1.1000000000000001</v>
      </c>
      <c r="R339" s="11">
        <v>1.03</v>
      </c>
      <c r="S339" s="11">
        <v>1.01</v>
      </c>
      <c r="T339" s="144">
        <f t="shared" si="22"/>
        <v>17.457470000000001</v>
      </c>
      <c r="U339" s="173"/>
      <c r="V339" s="136">
        <v>23</v>
      </c>
    </row>
    <row r="340" spans="2:22">
      <c r="B340" s="11"/>
      <c r="C340" s="172"/>
      <c r="D340" s="92"/>
      <c r="E340" s="11"/>
      <c r="F340" s="11"/>
      <c r="G340" s="11"/>
      <c r="H340" s="11"/>
      <c r="I340" s="144"/>
      <c r="J340" s="173"/>
      <c r="K340" s="136">
        <v>25</v>
      </c>
      <c r="M340" s="11" t="s">
        <v>51</v>
      </c>
      <c r="N340" s="172">
        <v>30</v>
      </c>
      <c r="O340" s="92">
        <v>32.31</v>
      </c>
      <c r="P340" s="11">
        <v>0.7</v>
      </c>
      <c r="Q340" s="11">
        <v>1.1000000000000001</v>
      </c>
      <c r="R340" s="11">
        <v>1.03</v>
      </c>
      <c r="S340" s="11">
        <v>1.4</v>
      </c>
      <c r="T340" s="144">
        <f t="shared" si="22"/>
        <v>27.067061000000002</v>
      </c>
      <c r="U340" s="173"/>
      <c r="V340" s="136">
        <v>25</v>
      </c>
    </row>
    <row r="341" spans="2:22">
      <c r="B341" s="11"/>
      <c r="C341" s="172"/>
      <c r="D341" s="92"/>
      <c r="E341" s="11"/>
      <c r="F341" s="11"/>
      <c r="G341" s="11"/>
      <c r="H341" s="11"/>
      <c r="I341" s="144"/>
      <c r="J341" s="173"/>
      <c r="K341" s="136">
        <v>25</v>
      </c>
      <c r="M341" s="11" t="s">
        <v>53</v>
      </c>
      <c r="N341" s="172">
        <v>40</v>
      </c>
      <c r="O341" s="92">
        <v>46.52</v>
      </c>
      <c r="P341" s="11">
        <v>0.7</v>
      </c>
      <c r="Q341" s="11">
        <v>1.1000000000000001</v>
      </c>
      <c r="R341" s="11">
        <v>1.03</v>
      </c>
      <c r="S341" s="11">
        <v>1.4</v>
      </c>
      <c r="T341" s="144">
        <f t="shared" si="22"/>
        <v>38.337012000000009</v>
      </c>
      <c r="U341" s="173"/>
      <c r="V341" s="136">
        <v>25</v>
      </c>
    </row>
    <row r="342" spans="2:22">
      <c r="B342" s="11"/>
      <c r="C342" s="172"/>
      <c r="D342" s="92"/>
      <c r="E342" s="11"/>
      <c r="F342" s="11"/>
      <c r="G342" s="11"/>
      <c r="H342" s="11"/>
      <c r="I342" s="144"/>
      <c r="J342" s="173"/>
      <c r="K342" s="136">
        <v>25</v>
      </c>
      <c r="M342" s="11" t="s">
        <v>55</v>
      </c>
      <c r="N342" s="172">
        <v>40</v>
      </c>
      <c r="O342" s="92">
        <v>47.7</v>
      </c>
      <c r="P342" s="11">
        <v>0.7</v>
      </c>
      <c r="Q342" s="11">
        <v>1.1000000000000001</v>
      </c>
      <c r="R342" s="11">
        <v>1.03</v>
      </c>
      <c r="S342" s="11">
        <v>1.69</v>
      </c>
      <c r="T342" s="144">
        <f t="shared" si="22"/>
        <v>39.571570000000008</v>
      </c>
      <c r="U342" s="173"/>
      <c r="V342" s="136">
        <v>25</v>
      </c>
    </row>
    <row r="343" spans="2:22">
      <c r="B343" s="11"/>
      <c r="C343" s="172"/>
      <c r="D343" s="92"/>
      <c r="E343" s="11"/>
      <c r="F343" s="11"/>
      <c r="G343" s="11"/>
      <c r="H343" s="11"/>
      <c r="I343" s="144"/>
      <c r="J343" s="173"/>
      <c r="K343" s="136">
        <v>25</v>
      </c>
      <c r="M343" s="11" t="s">
        <v>57</v>
      </c>
      <c r="N343" s="172">
        <v>50</v>
      </c>
      <c r="O343" s="92">
        <v>72.319999999999993</v>
      </c>
      <c r="P343" s="11">
        <v>0.7</v>
      </c>
      <c r="Q343" s="11">
        <v>1.1499999999999999</v>
      </c>
      <c r="R343" s="11">
        <v>1.03</v>
      </c>
      <c r="S343" s="11">
        <v>2.0499999999999998</v>
      </c>
      <c r="T343" s="144">
        <f t="shared" si="22"/>
        <v>62.075627999999988</v>
      </c>
      <c r="U343" s="173"/>
      <c r="V343" s="136">
        <v>25</v>
      </c>
    </row>
    <row r="344" spans="2:22">
      <c r="B344" s="11"/>
      <c r="C344" s="172"/>
      <c r="D344" s="92"/>
      <c r="E344" s="11"/>
      <c r="F344" s="11"/>
      <c r="G344" s="11"/>
      <c r="H344" s="11"/>
      <c r="I344" s="144"/>
      <c r="J344" s="173"/>
      <c r="K344" s="136">
        <v>25</v>
      </c>
      <c r="M344" s="11" t="s">
        <v>59</v>
      </c>
      <c r="N344" s="172">
        <v>70</v>
      </c>
      <c r="O344" s="92">
        <v>159.26</v>
      </c>
      <c r="P344" s="11">
        <v>0.7</v>
      </c>
      <c r="Q344" s="11">
        <v>1.1499999999999999</v>
      </c>
      <c r="R344" s="11">
        <v>1.03</v>
      </c>
      <c r="S344" s="11">
        <v>2.59</v>
      </c>
      <c r="T344" s="144">
        <f t="shared" si="22"/>
        <v>134.71812899999998</v>
      </c>
      <c r="U344" s="173"/>
      <c r="V344" s="136">
        <v>25</v>
      </c>
    </row>
    <row r="345" spans="2:22">
      <c r="B345" s="11"/>
      <c r="C345" s="172"/>
      <c r="D345" s="92"/>
      <c r="E345" s="11"/>
      <c r="F345" s="11"/>
      <c r="G345" s="11"/>
      <c r="H345" s="11"/>
      <c r="I345" s="144"/>
      <c r="J345" s="173"/>
      <c r="K345" s="136">
        <v>30</v>
      </c>
      <c r="M345" s="11" t="s">
        <v>60</v>
      </c>
      <c r="N345" s="172">
        <v>80</v>
      </c>
      <c r="O345" s="92">
        <v>206.68</v>
      </c>
      <c r="P345" s="11">
        <v>0.7</v>
      </c>
      <c r="Q345" s="11">
        <v>1.1499999999999999</v>
      </c>
      <c r="R345" s="11">
        <v>1.03</v>
      </c>
      <c r="S345" s="11">
        <v>3.14</v>
      </c>
      <c r="T345" s="144">
        <f t="shared" si="22"/>
        <v>174.60292199999995</v>
      </c>
      <c r="U345" s="173"/>
      <c r="V345" s="136">
        <v>30</v>
      </c>
    </row>
    <row r="346" spans="2:22">
      <c r="B346" s="11"/>
      <c r="C346" s="172"/>
      <c r="D346" s="92"/>
      <c r="E346" s="11"/>
      <c r="F346" s="11"/>
      <c r="G346" s="11"/>
      <c r="H346" s="11"/>
      <c r="I346" s="144"/>
      <c r="J346" s="173"/>
      <c r="K346" s="145">
        <v>30</v>
      </c>
      <c r="M346" s="11" t="s">
        <v>62</v>
      </c>
      <c r="N346" s="172">
        <v>100</v>
      </c>
      <c r="O346" s="92">
        <v>277.11</v>
      </c>
      <c r="P346" s="11">
        <v>0.7</v>
      </c>
      <c r="Q346" s="11">
        <v>1.1499999999999999</v>
      </c>
      <c r="R346" s="11">
        <v>1.03</v>
      </c>
      <c r="S346" s="11">
        <v>3.86</v>
      </c>
      <c r="T346" s="144">
        <f t="shared" si="22"/>
        <v>233.7415565</v>
      </c>
      <c r="U346" s="173"/>
      <c r="V346" s="145">
        <v>30</v>
      </c>
    </row>
    <row r="347" spans="2:22">
      <c r="B347" s="28"/>
      <c r="C347" s="136"/>
      <c r="D347" s="138"/>
      <c r="I347" s="138"/>
      <c r="J347" s="136"/>
      <c r="K347" s="145"/>
    </row>
    <row r="348" spans="2:22">
      <c r="B348" s="28"/>
      <c r="C348" s="136"/>
      <c r="D348" s="138"/>
      <c r="I348" s="138"/>
      <c r="J348" s="136"/>
    </row>
    <row r="349" spans="2:22">
      <c r="B349" s="28"/>
      <c r="C349" s="136"/>
      <c r="D349" s="138"/>
      <c r="I349" s="138"/>
      <c r="J349" s="136"/>
    </row>
    <row r="350" spans="2:22">
      <c r="B350" s="28"/>
      <c r="C350" s="136"/>
      <c r="D350" s="138"/>
      <c r="I350" s="138"/>
      <c r="J350" s="136"/>
    </row>
    <row r="351" spans="2:22">
      <c r="B351" s="28"/>
      <c r="C351" s="135"/>
      <c r="D351" s="136"/>
      <c r="E351" s="159"/>
      <c r="J351" s="138"/>
    </row>
    <row r="352" spans="2:22">
      <c r="B352" s="11"/>
      <c r="C352" s="11"/>
      <c r="D352" s="143"/>
      <c r="E352" s="92"/>
      <c r="F352" s="11"/>
      <c r="G352" s="11"/>
      <c r="H352" s="11"/>
      <c r="I352" s="11"/>
      <c r="J352" s="147"/>
    </row>
    <row r="353" spans="2:21">
      <c r="B353" s="11"/>
      <c r="C353" s="11"/>
      <c r="D353" s="143"/>
      <c r="E353" s="92"/>
      <c r="F353" s="11"/>
      <c r="G353" s="11"/>
      <c r="H353" s="11"/>
      <c r="I353" s="11"/>
      <c r="J353" s="144"/>
    </row>
    <row r="354" spans="2:21">
      <c r="B354" s="11"/>
      <c r="C354" s="11"/>
      <c r="D354" s="143"/>
      <c r="E354" s="92"/>
      <c r="F354" s="11"/>
      <c r="G354" s="11"/>
      <c r="H354" s="11"/>
      <c r="I354" s="11"/>
      <c r="J354" s="144"/>
    </row>
    <row r="355" spans="2:21">
      <c r="B355" s="11"/>
      <c r="C355" s="11"/>
      <c r="D355" s="143"/>
      <c r="E355" s="92"/>
      <c r="F355" s="11"/>
      <c r="G355" s="11"/>
      <c r="H355" s="11"/>
      <c r="I355" s="11"/>
      <c r="J355" s="144"/>
    </row>
    <row r="356" spans="2:21">
      <c r="B356" s="11"/>
      <c r="C356" s="11"/>
      <c r="D356" s="143"/>
      <c r="E356" s="92"/>
      <c r="F356" s="11"/>
      <c r="G356" s="11"/>
      <c r="H356" s="11"/>
      <c r="I356" s="11"/>
      <c r="J356" s="144"/>
    </row>
    <row r="357" spans="2:21">
      <c r="B357" s="11"/>
      <c r="C357" s="11"/>
      <c r="D357" s="143"/>
      <c r="E357" s="174"/>
      <c r="F357" s="11"/>
      <c r="G357" s="11"/>
      <c r="H357" s="11"/>
      <c r="I357" s="11"/>
      <c r="J357" s="144"/>
    </row>
    <row r="358" spans="2:21">
      <c r="B358" s="11"/>
      <c r="C358" s="11"/>
      <c r="D358" s="143"/>
      <c r="E358" s="174"/>
      <c r="F358" s="11"/>
      <c r="G358" s="11"/>
      <c r="H358" s="11"/>
      <c r="I358" s="11"/>
      <c r="J358" s="144"/>
    </row>
    <row r="359" spans="2:21">
      <c r="B359" s="11"/>
      <c r="C359" s="11"/>
      <c r="D359" s="143"/>
      <c r="E359" s="174"/>
      <c r="F359" s="11"/>
      <c r="G359" s="11"/>
      <c r="H359" s="11"/>
      <c r="I359" s="11"/>
      <c r="J359" s="144"/>
    </row>
    <row r="360" spans="2:21">
      <c r="B360" s="11"/>
      <c r="C360" s="11"/>
      <c r="D360" s="143"/>
      <c r="E360" s="174"/>
      <c r="F360" s="11"/>
      <c r="G360" s="11"/>
      <c r="H360" s="11"/>
      <c r="I360" s="11"/>
      <c r="J360" s="144"/>
    </row>
    <row r="361" spans="2:21">
      <c r="B361" s="11"/>
      <c r="C361" s="11"/>
      <c r="D361" s="143"/>
      <c r="E361" s="174"/>
      <c r="F361" s="11"/>
      <c r="G361" s="11"/>
      <c r="H361" s="11"/>
      <c r="I361" s="11"/>
      <c r="J361" s="144"/>
    </row>
    <row r="362" spans="2:21">
      <c r="B362" s="28"/>
      <c r="C362" s="136"/>
      <c r="D362" s="138"/>
      <c r="I362" s="138"/>
      <c r="J362" s="136"/>
    </row>
    <row r="363" spans="2:21">
      <c r="B363" s="28"/>
      <c r="C363" s="136"/>
      <c r="D363" s="138"/>
      <c r="I363" s="138"/>
      <c r="J363" s="136"/>
    </row>
    <row r="364" spans="2:21">
      <c r="B364" s="28"/>
      <c r="C364" s="136"/>
      <c r="D364" s="138"/>
      <c r="I364" s="138"/>
      <c r="J364" s="136"/>
    </row>
    <row r="365" spans="2:21">
      <c r="B365" s="28"/>
      <c r="C365" s="136"/>
      <c r="D365" s="138"/>
      <c r="I365" s="138"/>
      <c r="J365" s="136"/>
    </row>
    <row r="366" spans="2:21">
      <c r="B366" s="135"/>
      <c r="C366" s="136"/>
      <c r="D366" s="175"/>
      <c r="I366" s="138"/>
      <c r="J366" s="136"/>
      <c r="L366" s="28"/>
      <c r="M366" s="135" t="s">
        <v>792</v>
      </c>
      <c r="N366" s="136"/>
      <c r="O366" s="137" t="s">
        <v>817</v>
      </c>
      <c r="T366" s="138"/>
      <c r="U366" s="136"/>
    </row>
    <row r="367" spans="2:21">
      <c r="B367" s="11"/>
      <c r="C367" s="143"/>
      <c r="D367" s="92"/>
      <c r="E367" s="11"/>
      <c r="F367" s="11"/>
      <c r="G367" s="11"/>
      <c r="H367" s="11"/>
      <c r="I367" s="147"/>
      <c r="J367" s="136"/>
      <c r="M367" s="11" t="s">
        <v>769</v>
      </c>
      <c r="N367" s="143" t="s">
        <v>770</v>
      </c>
      <c r="O367" s="92" t="s">
        <v>771</v>
      </c>
      <c r="P367" s="11" t="s">
        <v>613</v>
      </c>
      <c r="Q367" s="11" t="s">
        <v>772</v>
      </c>
      <c r="R367" s="11" t="s">
        <v>773</v>
      </c>
      <c r="S367" s="11" t="s">
        <v>774</v>
      </c>
      <c r="T367" s="147" t="s">
        <v>771</v>
      </c>
      <c r="U367" s="136"/>
    </row>
    <row r="368" spans="2:21">
      <c r="B368" s="11"/>
      <c r="C368" s="143"/>
      <c r="D368" s="92"/>
      <c r="E368" s="11"/>
      <c r="F368" s="11"/>
      <c r="G368" s="11"/>
      <c r="H368" s="11"/>
      <c r="I368" s="144"/>
      <c r="J368" s="136"/>
      <c r="M368" s="11" t="s">
        <v>47</v>
      </c>
      <c r="N368" s="143">
        <v>20</v>
      </c>
      <c r="O368" s="92">
        <v>31.32</v>
      </c>
      <c r="P368" s="11">
        <v>0.6</v>
      </c>
      <c r="Q368" s="11">
        <v>1.1000000000000001</v>
      </c>
      <c r="R368" s="11">
        <v>1.03</v>
      </c>
      <c r="S368" s="11">
        <v>1.01</v>
      </c>
      <c r="T368" s="144">
        <f t="shared" ref="T368:T373" si="23">(((O368*P368)*Q368)+S368)*R368</f>
        <v>22.331636</v>
      </c>
      <c r="U368" s="136"/>
    </row>
    <row r="369" spans="2:21">
      <c r="B369" s="11"/>
      <c r="C369" s="143"/>
      <c r="D369" s="92"/>
      <c r="E369" s="11"/>
      <c r="F369" s="11"/>
      <c r="G369" s="11"/>
      <c r="H369" s="11"/>
      <c r="I369" s="144"/>
      <c r="J369" s="136"/>
      <c r="M369" s="11" t="s">
        <v>49</v>
      </c>
      <c r="N369" s="143">
        <v>20</v>
      </c>
      <c r="O369" s="92">
        <v>37.520000000000003</v>
      </c>
      <c r="P369" s="11">
        <v>0.6</v>
      </c>
      <c r="Q369" s="11">
        <v>1.1000000000000001</v>
      </c>
      <c r="R369" s="11">
        <v>1.03</v>
      </c>
      <c r="S369" s="11">
        <v>1.01</v>
      </c>
      <c r="T369" s="144">
        <f t="shared" si="23"/>
        <v>26.546396000000005</v>
      </c>
      <c r="U369" s="136"/>
    </row>
    <row r="370" spans="2:21">
      <c r="B370" s="11"/>
      <c r="C370" s="143"/>
      <c r="D370" s="92"/>
      <c r="E370" s="11"/>
      <c r="F370" s="11"/>
      <c r="G370" s="11"/>
      <c r="H370" s="11"/>
      <c r="I370" s="144"/>
      <c r="J370" s="136"/>
      <c r="M370" s="11" t="s">
        <v>51</v>
      </c>
      <c r="N370" s="143">
        <v>30</v>
      </c>
      <c r="O370" s="92">
        <v>89.34</v>
      </c>
      <c r="P370" s="11">
        <v>0.6</v>
      </c>
      <c r="Q370" s="11">
        <v>1.1000000000000001</v>
      </c>
      <c r="R370" s="11">
        <v>1.03</v>
      </c>
      <c r="S370" s="11">
        <v>1.4</v>
      </c>
      <c r="T370" s="144">
        <f t="shared" si="23"/>
        <v>62.175332000000004</v>
      </c>
      <c r="U370" s="136"/>
    </row>
    <row r="371" spans="2:21">
      <c r="B371" s="11"/>
      <c r="C371" s="143"/>
      <c r="D371" s="92"/>
      <c r="E371" s="11"/>
      <c r="F371" s="11"/>
      <c r="G371" s="11"/>
      <c r="H371" s="11"/>
      <c r="I371" s="144"/>
      <c r="J371" s="136"/>
      <c r="M371" s="11" t="s">
        <v>53</v>
      </c>
      <c r="N371" s="143">
        <v>30</v>
      </c>
      <c r="O371" s="92">
        <v>111.07</v>
      </c>
      <c r="P371" s="11">
        <v>0.6</v>
      </c>
      <c r="Q371" s="11">
        <v>1.1000000000000001</v>
      </c>
      <c r="R371" s="11">
        <v>1.03</v>
      </c>
      <c r="S371" s="11">
        <v>1.4</v>
      </c>
      <c r="T371" s="144">
        <f t="shared" si="23"/>
        <v>76.947386000000009</v>
      </c>
      <c r="U371" s="136"/>
    </row>
    <row r="372" spans="2:21">
      <c r="B372" s="11"/>
      <c r="C372" s="143"/>
      <c r="D372" s="92"/>
      <c r="E372" s="11"/>
      <c r="F372" s="11"/>
      <c r="G372" s="11"/>
      <c r="H372" s="11"/>
      <c r="I372" s="144"/>
      <c r="J372" s="136"/>
      <c r="M372" s="11" t="s">
        <v>55</v>
      </c>
      <c r="N372" s="143">
        <v>40</v>
      </c>
      <c r="O372" s="92">
        <v>139.19</v>
      </c>
      <c r="P372" s="11">
        <v>0.6</v>
      </c>
      <c r="Q372" s="11">
        <v>1.1000000000000001</v>
      </c>
      <c r="R372" s="11">
        <v>1.03</v>
      </c>
      <c r="S372" s="11">
        <v>1.69</v>
      </c>
      <c r="T372" s="144">
        <f t="shared" si="23"/>
        <v>96.362062000000009</v>
      </c>
      <c r="U372" s="136"/>
    </row>
    <row r="373" spans="2:21">
      <c r="B373" s="11"/>
      <c r="C373" s="143"/>
      <c r="D373" s="92"/>
      <c r="E373" s="11"/>
      <c r="F373" s="11"/>
      <c r="G373" s="11"/>
      <c r="H373" s="11"/>
      <c r="I373" s="144"/>
      <c r="J373" s="145"/>
      <c r="M373" s="11" t="s">
        <v>57</v>
      </c>
      <c r="N373" s="143">
        <v>50</v>
      </c>
      <c r="O373" s="92">
        <f>150.94+((50+2*50)/1000)*3.14*155.65</f>
        <v>224.25115</v>
      </c>
      <c r="P373" s="11">
        <v>0.6</v>
      </c>
      <c r="Q373" s="11">
        <v>1.1499999999999999</v>
      </c>
      <c r="R373" s="11">
        <v>1.03</v>
      </c>
      <c r="S373" s="11">
        <v>2.0499999999999998</v>
      </c>
      <c r="T373" s="144">
        <f t="shared" si="23"/>
        <v>161.48679230500002</v>
      </c>
    </row>
    <row r="374" spans="2:21">
      <c r="C374" s="136"/>
      <c r="D374" s="138"/>
      <c r="I374" s="133"/>
      <c r="J374" s="145"/>
    </row>
    <row r="375" spans="2:21">
      <c r="B375" s="28"/>
      <c r="C375" s="134"/>
      <c r="D375" s="159"/>
      <c r="I375" s="138"/>
      <c r="J375" s="136"/>
    </row>
    <row r="376" spans="2:21">
      <c r="B376" s="11"/>
      <c r="C376" s="143"/>
      <c r="D376" s="92"/>
      <c r="E376" s="11"/>
      <c r="F376" s="11"/>
      <c r="G376" s="11"/>
      <c r="H376" s="11"/>
      <c r="I376" s="147"/>
      <c r="J376" s="168"/>
    </row>
    <row r="377" spans="2:21">
      <c r="B377" s="11"/>
      <c r="C377" s="143"/>
      <c r="D377" s="92"/>
      <c r="E377" s="11"/>
      <c r="F377" s="11"/>
      <c r="G377" s="11"/>
      <c r="H377" s="11"/>
      <c r="I377" s="144"/>
      <c r="J377" s="168"/>
    </row>
    <row r="378" spans="2:21">
      <c r="B378" s="11"/>
      <c r="C378" s="143"/>
      <c r="D378" s="92"/>
      <c r="E378" s="11"/>
      <c r="F378" s="11"/>
      <c r="G378" s="11"/>
      <c r="H378" s="11"/>
      <c r="I378" s="144"/>
      <c r="J378" s="168"/>
    </row>
    <row r="379" spans="2:21">
      <c r="B379" s="11"/>
      <c r="C379" s="143"/>
      <c r="D379" s="92"/>
      <c r="E379" s="11"/>
      <c r="F379" s="11"/>
      <c r="G379" s="11"/>
      <c r="H379" s="11"/>
      <c r="I379" s="144"/>
      <c r="J379" s="168"/>
    </row>
    <row r="380" spans="2:21">
      <c r="B380" s="11"/>
      <c r="C380" s="143"/>
      <c r="D380" s="92"/>
      <c r="E380" s="11"/>
      <c r="F380" s="11"/>
      <c r="G380" s="11"/>
      <c r="H380" s="11"/>
      <c r="I380" s="144"/>
      <c r="J380" s="168"/>
    </row>
    <row r="381" spans="2:21">
      <c r="B381" s="11"/>
      <c r="C381" s="143"/>
      <c r="D381" s="92"/>
      <c r="E381" s="11"/>
      <c r="F381" s="11"/>
      <c r="G381" s="11"/>
      <c r="H381" s="11"/>
      <c r="I381" s="144"/>
      <c r="J381" s="168"/>
    </row>
    <row r="382" spans="2:21">
      <c r="B382" s="11"/>
      <c r="C382" s="143"/>
      <c r="D382" s="92"/>
      <c r="E382" s="11"/>
      <c r="F382" s="11"/>
      <c r="G382" s="11"/>
      <c r="H382" s="11"/>
      <c r="I382" s="144"/>
      <c r="J382" s="168"/>
    </row>
    <row r="383" spans="2:21">
      <c r="B383" s="11"/>
      <c r="C383" s="143"/>
      <c r="D383" s="92"/>
      <c r="E383" s="11"/>
      <c r="F383" s="11"/>
      <c r="G383" s="11"/>
      <c r="H383" s="11"/>
      <c r="I383" s="144"/>
      <c r="J383" s="168"/>
    </row>
    <row r="384" spans="2:21">
      <c r="B384" s="11"/>
      <c r="C384" s="143"/>
      <c r="D384" s="92"/>
      <c r="E384" s="11"/>
      <c r="F384" s="11"/>
      <c r="G384" s="11"/>
      <c r="H384" s="11"/>
      <c r="I384" s="144"/>
      <c r="J384" s="168"/>
    </row>
    <row r="385" spans="2:10">
      <c r="B385" s="11"/>
      <c r="C385" s="143"/>
      <c r="D385" s="92"/>
      <c r="E385" s="11"/>
      <c r="F385" s="11"/>
      <c r="G385" s="11"/>
      <c r="H385" s="11"/>
      <c r="I385" s="144"/>
      <c r="J385" s="168"/>
    </row>
    <row r="386" spans="2:10">
      <c r="B386" s="11"/>
      <c r="C386" s="143"/>
      <c r="D386" s="92"/>
      <c r="E386" s="11"/>
      <c r="F386" s="11"/>
      <c r="G386" s="11"/>
      <c r="H386" s="11"/>
      <c r="I386" s="144"/>
      <c r="J386" s="168"/>
    </row>
    <row r="387" spans="2:10">
      <c r="B387" s="11"/>
      <c r="C387" s="143"/>
      <c r="D387" s="92"/>
      <c r="E387" s="11"/>
      <c r="F387" s="11"/>
      <c r="G387" s="11"/>
      <c r="H387" s="11"/>
      <c r="I387" s="144"/>
      <c r="J387" s="168"/>
    </row>
    <row r="388" spans="2:10">
      <c r="B388" s="11"/>
      <c r="C388" s="143"/>
      <c r="D388" s="92"/>
      <c r="E388" s="11"/>
      <c r="F388" s="11"/>
      <c r="G388" s="11"/>
      <c r="H388" s="11"/>
      <c r="I388" s="144"/>
      <c r="J388" s="168"/>
    </row>
    <row r="389" spans="2:10">
      <c r="B389" s="11"/>
      <c r="C389" s="143"/>
      <c r="D389" s="92"/>
      <c r="E389" s="11"/>
      <c r="F389" s="11"/>
      <c r="G389" s="11"/>
      <c r="H389" s="11"/>
      <c r="I389" s="144"/>
      <c r="J389" s="168"/>
    </row>
    <row r="390" spans="2:10">
      <c r="B390" s="11"/>
      <c r="C390" s="143"/>
      <c r="D390" s="92"/>
      <c r="E390" s="11"/>
      <c r="F390" s="11"/>
      <c r="G390" s="11"/>
      <c r="H390" s="11"/>
      <c r="I390" s="144"/>
      <c r="J390" s="168"/>
    </row>
    <row r="391" spans="2:10">
      <c r="B391" s="11"/>
      <c r="C391" s="143"/>
      <c r="D391" s="92"/>
      <c r="E391" s="11"/>
      <c r="F391" s="11"/>
      <c r="G391" s="11"/>
      <c r="H391" s="11"/>
      <c r="I391" s="144"/>
      <c r="J391" s="168"/>
    </row>
    <row r="392" spans="2:10">
      <c r="C392" s="136"/>
      <c r="D392" s="138"/>
      <c r="I392" s="138"/>
      <c r="J392" s="136"/>
    </row>
    <row r="393" spans="2:10">
      <c r="B393" s="28"/>
      <c r="C393" s="134"/>
      <c r="D393" s="133"/>
      <c r="I393" s="138"/>
      <c r="J393" s="136"/>
    </row>
    <row r="394" spans="2:10">
      <c r="B394" s="11"/>
      <c r="C394" s="143"/>
      <c r="D394" s="92"/>
      <c r="E394" s="11"/>
      <c r="F394" s="11"/>
      <c r="G394" s="11"/>
      <c r="H394" s="11"/>
      <c r="I394" s="147"/>
      <c r="J394" s="168"/>
    </row>
    <row r="395" spans="2:10">
      <c r="B395" s="11"/>
      <c r="C395" s="143"/>
      <c r="D395" s="92"/>
      <c r="E395" s="11"/>
      <c r="F395" s="11"/>
      <c r="G395" s="11"/>
      <c r="H395" s="11"/>
      <c r="I395" s="144"/>
      <c r="J395" s="168"/>
    </row>
    <row r="396" spans="2:10">
      <c r="B396" s="11"/>
      <c r="C396" s="143"/>
      <c r="D396" s="92"/>
      <c r="E396" s="11"/>
      <c r="F396" s="11"/>
      <c r="G396" s="11"/>
      <c r="H396" s="11"/>
      <c r="I396" s="144"/>
      <c r="J396" s="168"/>
    </row>
    <row r="397" spans="2:10">
      <c r="B397" s="11"/>
      <c r="C397" s="143"/>
      <c r="D397" s="92"/>
      <c r="E397" s="11"/>
      <c r="F397" s="11"/>
      <c r="G397" s="11"/>
      <c r="H397" s="11"/>
      <c r="I397" s="144"/>
      <c r="J397" s="168"/>
    </row>
    <row r="398" spans="2:10">
      <c r="B398" s="11"/>
      <c r="C398" s="143"/>
      <c r="D398" s="92"/>
      <c r="E398" s="11"/>
      <c r="F398" s="11"/>
      <c r="G398" s="11"/>
      <c r="H398" s="11"/>
      <c r="I398" s="144"/>
      <c r="J398" s="168"/>
    </row>
    <row r="399" spans="2:10">
      <c r="B399" s="11"/>
      <c r="C399" s="143"/>
      <c r="D399" s="92"/>
      <c r="E399" s="11"/>
      <c r="F399" s="11"/>
      <c r="G399" s="11"/>
      <c r="H399" s="11"/>
      <c r="I399" s="144"/>
      <c r="J399" s="168"/>
    </row>
    <row r="400" spans="2:10">
      <c r="B400" s="11"/>
      <c r="C400" s="143"/>
      <c r="D400" s="92"/>
      <c r="E400" s="11"/>
      <c r="F400" s="11"/>
      <c r="G400" s="11"/>
      <c r="H400" s="11"/>
      <c r="I400" s="144"/>
      <c r="J400" s="168"/>
    </row>
    <row r="401" spans="2:20">
      <c r="B401" s="11"/>
      <c r="C401" s="143"/>
      <c r="D401" s="92"/>
      <c r="E401" s="11"/>
      <c r="F401" s="11"/>
      <c r="G401" s="11"/>
      <c r="H401" s="11"/>
      <c r="I401" s="144"/>
      <c r="J401" s="168"/>
    </row>
    <row r="402" spans="2:20">
      <c r="B402" s="11"/>
      <c r="C402" s="143"/>
      <c r="D402" s="92"/>
      <c r="E402" s="11"/>
      <c r="F402" s="11"/>
      <c r="G402" s="11"/>
      <c r="H402" s="11"/>
      <c r="I402" s="144"/>
      <c r="J402" s="168"/>
    </row>
    <row r="403" spans="2:20">
      <c r="B403" s="11"/>
      <c r="C403" s="143"/>
      <c r="D403" s="92"/>
      <c r="E403" s="11"/>
      <c r="F403" s="11"/>
      <c r="G403" s="11"/>
      <c r="H403" s="11"/>
      <c r="I403" s="144"/>
      <c r="J403" s="168"/>
    </row>
    <row r="404" spans="2:20">
      <c r="B404" s="11"/>
      <c r="C404" s="143"/>
      <c r="D404" s="92"/>
      <c r="E404" s="11"/>
      <c r="F404" s="11"/>
      <c r="G404" s="11"/>
      <c r="H404" s="11"/>
      <c r="I404" s="144"/>
      <c r="J404" s="168"/>
    </row>
    <row r="405" spans="2:20">
      <c r="B405" s="11"/>
      <c r="C405" s="143"/>
      <c r="D405" s="92"/>
      <c r="E405" s="11"/>
      <c r="F405" s="11"/>
      <c r="G405" s="11"/>
      <c r="H405" s="11"/>
      <c r="I405" s="144"/>
      <c r="J405" s="168"/>
    </row>
    <row r="406" spans="2:20">
      <c r="B406" s="11"/>
      <c r="C406" s="143"/>
      <c r="D406" s="92"/>
      <c r="E406" s="11"/>
      <c r="F406" s="11"/>
      <c r="G406" s="11"/>
      <c r="H406" s="11"/>
      <c r="I406" s="144"/>
      <c r="J406" s="168"/>
    </row>
    <row r="407" spans="2:20">
      <c r="B407" s="11"/>
      <c r="C407" s="143"/>
      <c r="D407" s="92"/>
      <c r="E407" s="11"/>
      <c r="F407" s="11"/>
      <c r="G407" s="11"/>
      <c r="H407" s="11"/>
      <c r="I407" s="144"/>
      <c r="J407" s="168"/>
    </row>
    <row r="408" spans="2:20">
      <c r="B408" s="11"/>
      <c r="C408" s="143"/>
      <c r="D408" s="92"/>
      <c r="E408" s="11"/>
      <c r="F408" s="11"/>
      <c r="G408" s="11"/>
      <c r="H408" s="11"/>
      <c r="I408" s="144"/>
      <c r="J408" s="168"/>
    </row>
    <row r="409" spans="2:20">
      <c r="B409" s="11"/>
      <c r="C409" s="143"/>
      <c r="D409" s="92"/>
      <c r="E409" s="11"/>
      <c r="F409" s="11"/>
      <c r="G409" s="11"/>
      <c r="H409" s="11"/>
      <c r="I409" s="144"/>
      <c r="J409" s="168"/>
    </row>
    <row r="410" spans="2:20">
      <c r="C410" s="136"/>
      <c r="D410" s="138"/>
      <c r="I410" s="138"/>
      <c r="J410" s="136"/>
    </row>
    <row r="411" spans="2:20">
      <c r="B411" s="28"/>
      <c r="C411" s="134"/>
      <c r="D411" s="176"/>
      <c r="I411" s="138"/>
      <c r="J411" s="136"/>
      <c r="L411" s="28" t="s">
        <v>799</v>
      </c>
      <c r="M411" s="134" t="s">
        <v>818</v>
      </c>
      <c r="N411" s="176" t="s">
        <v>819</v>
      </c>
      <c r="S411" s="138"/>
      <c r="T411" s="136"/>
    </row>
    <row r="412" spans="2:20">
      <c r="B412" s="11"/>
      <c r="C412" s="143"/>
      <c r="D412" s="92"/>
      <c r="E412" s="11"/>
      <c r="F412" s="11"/>
      <c r="G412" s="11"/>
      <c r="H412" s="11"/>
      <c r="I412" s="147"/>
      <c r="J412" s="177"/>
      <c r="L412" s="11" t="s">
        <v>769</v>
      </c>
      <c r="M412" s="143" t="s">
        <v>770</v>
      </c>
      <c r="N412" s="92" t="s">
        <v>771</v>
      </c>
      <c r="O412" s="11" t="s">
        <v>613</v>
      </c>
      <c r="P412" s="11" t="s">
        <v>772</v>
      </c>
      <c r="Q412" s="11" t="s">
        <v>773</v>
      </c>
      <c r="R412" s="11" t="s">
        <v>774</v>
      </c>
      <c r="S412" s="147" t="s">
        <v>771</v>
      </c>
      <c r="T412" s="177" t="s">
        <v>775</v>
      </c>
    </row>
    <row r="413" spans="2:20">
      <c r="B413" s="11"/>
      <c r="C413" s="143"/>
      <c r="D413" s="92"/>
      <c r="E413" s="11"/>
      <c r="F413" s="11"/>
      <c r="G413" s="11"/>
      <c r="H413" s="11"/>
      <c r="I413" s="144"/>
      <c r="J413" s="177"/>
      <c r="L413" s="11" t="s">
        <v>47</v>
      </c>
      <c r="M413" s="143">
        <v>9</v>
      </c>
      <c r="N413" s="92">
        <v>3.02</v>
      </c>
      <c r="O413" s="11">
        <v>0.6</v>
      </c>
      <c r="P413" s="11">
        <v>1.1000000000000001</v>
      </c>
      <c r="Q413" s="11">
        <v>1.03</v>
      </c>
      <c r="R413" s="11">
        <v>1.01</v>
      </c>
      <c r="S413" s="144">
        <f>(((N413*O413)*P413)+R413)*Q413</f>
        <v>3.093296</v>
      </c>
      <c r="T413" s="177">
        <v>21</v>
      </c>
    </row>
    <row r="414" spans="2:20">
      <c r="B414" s="11"/>
      <c r="C414" s="143"/>
      <c r="D414" s="92"/>
      <c r="E414" s="11"/>
      <c r="F414" s="11"/>
      <c r="G414" s="11"/>
      <c r="H414" s="11"/>
      <c r="I414" s="144"/>
      <c r="J414" s="177"/>
      <c r="L414" s="11" t="s">
        <v>49</v>
      </c>
      <c r="M414" s="143">
        <v>9</v>
      </c>
      <c r="N414" s="92">
        <v>3.32</v>
      </c>
      <c r="O414" s="11">
        <v>0.6</v>
      </c>
      <c r="P414" s="11">
        <v>1.1000000000000001</v>
      </c>
      <c r="Q414" s="11">
        <v>1.03</v>
      </c>
      <c r="R414" s="11">
        <v>1.01</v>
      </c>
      <c r="S414" s="144">
        <f>(((N414*O414)*P414)+R414)*Q414</f>
        <v>3.2972360000000003</v>
      </c>
      <c r="T414" s="177">
        <v>21</v>
      </c>
    </row>
    <row r="415" spans="2:20">
      <c r="B415" s="11"/>
      <c r="C415" s="143"/>
      <c r="D415" s="92"/>
      <c r="E415" s="11"/>
      <c r="F415" s="11"/>
      <c r="G415" s="11"/>
      <c r="H415" s="11"/>
      <c r="I415" s="144"/>
      <c r="J415" s="177"/>
      <c r="L415" s="11" t="s">
        <v>51</v>
      </c>
      <c r="M415" s="143">
        <v>9</v>
      </c>
      <c r="N415" s="92">
        <v>4.07</v>
      </c>
      <c r="O415" s="11">
        <v>0.6</v>
      </c>
      <c r="P415" s="11">
        <v>1.1000000000000001</v>
      </c>
      <c r="Q415" s="11">
        <v>1.03</v>
      </c>
      <c r="R415" s="11">
        <v>1.4</v>
      </c>
      <c r="S415" s="144">
        <f>(((N415*O415)*P415)+R415)*Q415</f>
        <v>4.2087859999999999</v>
      </c>
      <c r="T415" s="177">
        <v>21</v>
      </c>
    </row>
    <row r="416" spans="2:20">
      <c r="B416" s="11"/>
      <c r="C416" s="143"/>
      <c r="D416" s="92"/>
      <c r="E416" s="11"/>
      <c r="F416" s="11"/>
      <c r="G416" s="11"/>
      <c r="H416" s="11"/>
      <c r="I416" s="144"/>
      <c r="J416" s="136"/>
      <c r="L416" s="11" t="s">
        <v>53</v>
      </c>
      <c r="M416" s="143">
        <v>9</v>
      </c>
      <c r="N416" s="92">
        <v>4.87</v>
      </c>
      <c r="O416" s="11">
        <v>0.6</v>
      </c>
      <c r="P416" s="11">
        <v>1.1000000000000001</v>
      </c>
      <c r="Q416" s="11">
        <v>1.03</v>
      </c>
      <c r="R416" s="11">
        <v>1.4</v>
      </c>
      <c r="S416" s="144">
        <f>(((N416*O416)*P416)+R416)*Q416</f>
        <v>4.7526260000000002</v>
      </c>
      <c r="T416" s="136">
        <v>21</v>
      </c>
    </row>
    <row r="417" spans="2:20">
      <c r="B417" s="11"/>
      <c r="C417" s="143"/>
      <c r="D417" s="92"/>
      <c r="E417" s="11"/>
      <c r="F417" s="11"/>
      <c r="G417" s="11"/>
      <c r="H417" s="11"/>
      <c r="I417" s="144"/>
      <c r="J417" s="145"/>
      <c r="L417" s="11" t="s">
        <v>55</v>
      </c>
      <c r="M417" s="143">
        <v>9</v>
      </c>
      <c r="N417" s="92">
        <v>5.93</v>
      </c>
      <c r="O417" s="11">
        <v>0.6</v>
      </c>
      <c r="P417" s="11">
        <v>1.1000000000000001</v>
      </c>
      <c r="Q417" s="11">
        <v>1.03</v>
      </c>
      <c r="R417" s="11">
        <v>1.69</v>
      </c>
      <c r="S417" s="144">
        <f>(((N417*O417)*P417)+R417)*Q417</f>
        <v>5.7719139999999998</v>
      </c>
      <c r="T417" s="145">
        <v>39</v>
      </c>
    </row>
    <row r="418" spans="2:20">
      <c r="B418" s="11"/>
      <c r="C418" s="143"/>
      <c r="D418" s="92"/>
      <c r="E418" s="11"/>
      <c r="F418" s="11"/>
      <c r="G418" s="11"/>
      <c r="H418" s="11"/>
      <c r="I418" s="144"/>
      <c r="J418" s="145"/>
    </row>
    <row r="419" spans="2:20">
      <c r="B419" s="11"/>
      <c r="C419" s="143"/>
      <c r="D419" s="92"/>
      <c r="E419" s="11"/>
      <c r="F419" s="11"/>
      <c r="G419" s="11"/>
      <c r="H419" s="11"/>
      <c r="I419" s="144"/>
      <c r="J419" s="145"/>
    </row>
    <row r="420" spans="2:20">
      <c r="B420" s="11"/>
      <c r="C420" s="143"/>
      <c r="D420" s="92"/>
      <c r="E420" s="11"/>
      <c r="F420" s="11"/>
      <c r="G420" s="11"/>
      <c r="H420" s="11"/>
      <c r="I420" s="144"/>
      <c r="J420" s="145"/>
    </row>
    <row r="421" spans="2:20">
      <c r="B421" s="11"/>
      <c r="C421" s="143"/>
      <c r="D421" s="92"/>
      <c r="E421" s="11"/>
      <c r="F421" s="11"/>
      <c r="G421" s="11"/>
      <c r="H421" s="11"/>
      <c r="I421" s="144"/>
      <c r="J421" s="145"/>
    </row>
    <row r="422" spans="2:20">
      <c r="B422" s="11"/>
      <c r="C422" s="143"/>
      <c r="D422" s="92"/>
      <c r="E422" s="11"/>
      <c r="F422" s="11"/>
      <c r="G422" s="11"/>
      <c r="H422" s="11"/>
      <c r="I422" s="144"/>
      <c r="J422" s="145"/>
    </row>
    <row r="423" spans="2:20">
      <c r="B423" s="11"/>
      <c r="C423" s="143"/>
      <c r="D423" s="92"/>
      <c r="E423" s="11"/>
      <c r="F423" s="11"/>
      <c r="G423" s="11"/>
      <c r="H423" s="11"/>
      <c r="I423" s="144"/>
      <c r="J423" s="145"/>
    </row>
    <row r="424" spans="2:20">
      <c r="B424" s="11"/>
      <c r="C424" s="143"/>
      <c r="D424" s="92"/>
      <c r="E424" s="11"/>
      <c r="F424" s="11"/>
      <c r="G424" s="11"/>
      <c r="H424" s="11"/>
      <c r="I424" s="144"/>
      <c r="J424" s="145"/>
    </row>
    <row r="425" spans="2:20">
      <c r="B425" s="11"/>
      <c r="C425" s="143"/>
      <c r="D425" s="92"/>
      <c r="E425" s="11"/>
      <c r="F425" s="11"/>
      <c r="G425" s="11"/>
      <c r="H425" s="11"/>
      <c r="I425" s="144"/>
      <c r="J425" s="145"/>
    </row>
    <row r="426" spans="2:20">
      <c r="B426" s="11"/>
      <c r="C426" s="143"/>
      <c r="D426" s="92"/>
      <c r="E426" s="11"/>
      <c r="F426" s="11"/>
      <c r="G426" s="11"/>
      <c r="H426" s="11"/>
      <c r="I426" s="144"/>
      <c r="J426" s="145"/>
    </row>
    <row r="427" spans="2:20">
      <c r="B427" s="11"/>
      <c r="C427" s="143"/>
      <c r="D427" s="92"/>
      <c r="E427" s="11"/>
      <c r="F427" s="11"/>
      <c r="G427" s="11"/>
      <c r="H427" s="11"/>
      <c r="I427" s="144"/>
      <c r="J427" s="145"/>
    </row>
    <row r="428" spans="2:20">
      <c r="C428" s="136"/>
      <c r="D428" s="138"/>
      <c r="I428" s="138"/>
      <c r="J428" s="136"/>
    </row>
    <row r="429" spans="2:20">
      <c r="C429" s="136"/>
      <c r="D429" s="138"/>
      <c r="I429" s="138"/>
      <c r="J429" s="136"/>
    </row>
    <row r="431" spans="2:20">
      <c r="C431" s="136"/>
      <c r="D431" s="138"/>
      <c r="I431" s="138"/>
      <c r="J431" s="136"/>
    </row>
    <row r="432" spans="2:20">
      <c r="C432" s="136"/>
      <c r="D432" s="138"/>
      <c r="I432" s="138"/>
      <c r="J432" s="136"/>
    </row>
    <row r="433" spans="3:10">
      <c r="C433" s="136"/>
      <c r="D433" s="138"/>
      <c r="I433" s="138"/>
      <c r="J433" s="136"/>
    </row>
    <row r="434" spans="3:10">
      <c r="C434" s="136"/>
      <c r="D434" s="138"/>
      <c r="I434" s="138"/>
      <c r="J434" s="136"/>
    </row>
    <row r="435" spans="3:10">
      <c r="C435" s="136"/>
      <c r="D435" s="138"/>
      <c r="I435" s="138"/>
      <c r="J435" s="136"/>
    </row>
    <row r="436" spans="3:10">
      <c r="C436" s="136"/>
      <c r="D436" s="138"/>
      <c r="I436" s="138"/>
      <c r="J436" s="136"/>
    </row>
    <row r="437" spans="3:10">
      <c r="C437" s="136"/>
      <c r="D437" s="138"/>
      <c r="I437" s="138"/>
      <c r="J437" s="1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1FAC-8B38-4EC6-9C3B-9BFEFDFEF0D7}">
  <dimension ref="A1:Z680"/>
  <sheetViews>
    <sheetView topLeftCell="A264" zoomScale="70" zoomScaleNormal="70" workbookViewId="0">
      <selection activeCell="E275" sqref="E275"/>
    </sheetView>
  </sheetViews>
  <sheetFormatPr defaultRowHeight="15"/>
  <cols>
    <col min="1" max="1" width="25.140625" customWidth="1"/>
    <col min="2" max="2" width="14.7109375" bestFit="1" customWidth="1"/>
    <col min="3" max="3" width="17.42578125" bestFit="1" customWidth="1"/>
    <col min="4" max="9" width="11.42578125" customWidth="1"/>
    <col min="10" max="10" width="6.42578125" customWidth="1"/>
    <col min="11" max="11" width="10.7109375" customWidth="1"/>
    <col min="12" max="12" width="16" customWidth="1"/>
    <col min="13" max="13" width="4.42578125" customWidth="1"/>
    <col min="14" max="14" width="15.28515625" customWidth="1"/>
    <col min="15" max="15" width="15.7109375" customWidth="1"/>
    <col min="16" max="16" width="17.42578125" bestFit="1" customWidth="1"/>
    <col min="17" max="17" width="13.5703125" customWidth="1"/>
    <col min="18" max="20" width="11.42578125" customWidth="1"/>
    <col min="257" max="257" width="25.140625" customWidth="1"/>
    <col min="258" max="258" width="14.7109375" bestFit="1" customWidth="1"/>
    <col min="259" max="259" width="17.42578125" bestFit="1" customWidth="1"/>
    <col min="260" max="265" width="11.42578125" customWidth="1"/>
    <col min="266" max="266" width="6.42578125" customWidth="1"/>
    <col min="267" max="267" width="10.7109375" customWidth="1"/>
    <col min="268" max="268" width="16" customWidth="1"/>
    <col min="269" max="269" width="4.42578125" customWidth="1"/>
    <col min="270" max="270" width="15.28515625" customWidth="1"/>
    <col min="271" max="271" width="15.7109375" customWidth="1"/>
    <col min="272" max="272" width="17.42578125" bestFit="1" customWidth="1"/>
    <col min="273" max="273" width="13.5703125" customWidth="1"/>
    <col min="274" max="276" width="11.42578125" customWidth="1"/>
    <col min="513" max="513" width="25.140625" customWidth="1"/>
    <col min="514" max="514" width="14.7109375" bestFit="1" customWidth="1"/>
    <col min="515" max="515" width="17.42578125" bestFit="1" customWidth="1"/>
    <col min="516" max="521" width="11.42578125" customWidth="1"/>
    <col min="522" max="522" width="6.42578125" customWidth="1"/>
    <col min="523" max="523" width="10.7109375" customWidth="1"/>
    <col min="524" max="524" width="16" customWidth="1"/>
    <col min="525" max="525" width="4.42578125" customWidth="1"/>
    <col min="526" max="526" width="15.28515625" customWidth="1"/>
    <col min="527" max="527" width="15.7109375" customWidth="1"/>
    <col min="528" max="528" width="17.42578125" bestFit="1" customWidth="1"/>
    <col min="529" max="529" width="13.5703125" customWidth="1"/>
    <col min="530" max="532" width="11.42578125" customWidth="1"/>
    <col min="769" max="769" width="25.140625" customWidth="1"/>
    <col min="770" max="770" width="14.7109375" bestFit="1" customWidth="1"/>
    <col min="771" max="771" width="17.42578125" bestFit="1" customWidth="1"/>
    <col min="772" max="777" width="11.42578125" customWidth="1"/>
    <col min="778" max="778" width="6.42578125" customWidth="1"/>
    <col min="779" max="779" width="10.7109375" customWidth="1"/>
    <col min="780" max="780" width="16" customWidth="1"/>
    <col min="781" max="781" width="4.42578125" customWidth="1"/>
    <col min="782" max="782" width="15.28515625" customWidth="1"/>
    <col min="783" max="783" width="15.7109375" customWidth="1"/>
    <col min="784" max="784" width="17.42578125" bestFit="1" customWidth="1"/>
    <col min="785" max="785" width="13.5703125" customWidth="1"/>
    <col min="786" max="788" width="11.42578125" customWidth="1"/>
    <col min="1025" max="1025" width="25.140625" customWidth="1"/>
    <col min="1026" max="1026" width="14.7109375" bestFit="1" customWidth="1"/>
    <col min="1027" max="1027" width="17.42578125" bestFit="1" customWidth="1"/>
    <col min="1028" max="1033" width="11.42578125" customWidth="1"/>
    <col min="1034" max="1034" width="6.42578125" customWidth="1"/>
    <col min="1035" max="1035" width="10.7109375" customWidth="1"/>
    <col min="1036" max="1036" width="16" customWidth="1"/>
    <col min="1037" max="1037" width="4.42578125" customWidth="1"/>
    <col min="1038" max="1038" width="15.28515625" customWidth="1"/>
    <col min="1039" max="1039" width="15.7109375" customWidth="1"/>
    <col min="1040" max="1040" width="17.42578125" bestFit="1" customWidth="1"/>
    <col min="1041" max="1041" width="13.5703125" customWidth="1"/>
    <col min="1042" max="1044" width="11.42578125" customWidth="1"/>
    <col min="1281" max="1281" width="25.140625" customWidth="1"/>
    <col min="1282" max="1282" width="14.7109375" bestFit="1" customWidth="1"/>
    <col min="1283" max="1283" width="17.42578125" bestFit="1" customWidth="1"/>
    <col min="1284" max="1289" width="11.42578125" customWidth="1"/>
    <col min="1290" max="1290" width="6.42578125" customWidth="1"/>
    <col min="1291" max="1291" width="10.7109375" customWidth="1"/>
    <col min="1292" max="1292" width="16" customWidth="1"/>
    <col min="1293" max="1293" width="4.42578125" customWidth="1"/>
    <col min="1294" max="1294" width="15.28515625" customWidth="1"/>
    <col min="1295" max="1295" width="15.7109375" customWidth="1"/>
    <col min="1296" max="1296" width="17.42578125" bestFit="1" customWidth="1"/>
    <col min="1297" max="1297" width="13.5703125" customWidth="1"/>
    <col min="1298" max="1300" width="11.42578125" customWidth="1"/>
    <col min="1537" max="1537" width="25.140625" customWidth="1"/>
    <col min="1538" max="1538" width="14.7109375" bestFit="1" customWidth="1"/>
    <col min="1539" max="1539" width="17.42578125" bestFit="1" customWidth="1"/>
    <col min="1540" max="1545" width="11.42578125" customWidth="1"/>
    <col min="1546" max="1546" width="6.42578125" customWidth="1"/>
    <col min="1547" max="1547" width="10.7109375" customWidth="1"/>
    <col min="1548" max="1548" width="16" customWidth="1"/>
    <col min="1549" max="1549" width="4.42578125" customWidth="1"/>
    <col min="1550" max="1550" width="15.28515625" customWidth="1"/>
    <col min="1551" max="1551" width="15.7109375" customWidth="1"/>
    <col min="1552" max="1552" width="17.42578125" bestFit="1" customWidth="1"/>
    <col min="1553" max="1553" width="13.5703125" customWidth="1"/>
    <col min="1554" max="1556" width="11.42578125" customWidth="1"/>
    <col min="1793" max="1793" width="25.140625" customWidth="1"/>
    <col min="1794" max="1794" width="14.7109375" bestFit="1" customWidth="1"/>
    <col min="1795" max="1795" width="17.42578125" bestFit="1" customWidth="1"/>
    <col min="1796" max="1801" width="11.42578125" customWidth="1"/>
    <col min="1802" max="1802" width="6.42578125" customWidth="1"/>
    <col min="1803" max="1803" width="10.7109375" customWidth="1"/>
    <col min="1804" max="1804" width="16" customWidth="1"/>
    <col min="1805" max="1805" width="4.42578125" customWidth="1"/>
    <col min="1806" max="1806" width="15.28515625" customWidth="1"/>
    <col min="1807" max="1807" width="15.7109375" customWidth="1"/>
    <col min="1808" max="1808" width="17.42578125" bestFit="1" customWidth="1"/>
    <col min="1809" max="1809" width="13.5703125" customWidth="1"/>
    <col min="1810" max="1812" width="11.42578125" customWidth="1"/>
    <col min="2049" max="2049" width="25.140625" customWidth="1"/>
    <col min="2050" max="2050" width="14.7109375" bestFit="1" customWidth="1"/>
    <col min="2051" max="2051" width="17.42578125" bestFit="1" customWidth="1"/>
    <col min="2052" max="2057" width="11.42578125" customWidth="1"/>
    <col min="2058" max="2058" width="6.42578125" customWidth="1"/>
    <col min="2059" max="2059" width="10.7109375" customWidth="1"/>
    <col min="2060" max="2060" width="16" customWidth="1"/>
    <col min="2061" max="2061" width="4.42578125" customWidth="1"/>
    <col min="2062" max="2062" width="15.28515625" customWidth="1"/>
    <col min="2063" max="2063" width="15.7109375" customWidth="1"/>
    <col min="2064" max="2064" width="17.42578125" bestFit="1" customWidth="1"/>
    <col min="2065" max="2065" width="13.5703125" customWidth="1"/>
    <col min="2066" max="2068" width="11.42578125" customWidth="1"/>
    <col min="2305" max="2305" width="25.140625" customWidth="1"/>
    <col min="2306" max="2306" width="14.7109375" bestFit="1" customWidth="1"/>
    <col min="2307" max="2307" width="17.42578125" bestFit="1" customWidth="1"/>
    <col min="2308" max="2313" width="11.42578125" customWidth="1"/>
    <col min="2314" max="2314" width="6.42578125" customWidth="1"/>
    <col min="2315" max="2315" width="10.7109375" customWidth="1"/>
    <col min="2316" max="2316" width="16" customWidth="1"/>
    <col min="2317" max="2317" width="4.42578125" customWidth="1"/>
    <col min="2318" max="2318" width="15.28515625" customWidth="1"/>
    <col min="2319" max="2319" width="15.7109375" customWidth="1"/>
    <col min="2320" max="2320" width="17.42578125" bestFit="1" customWidth="1"/>
    <col min="2321" max="2321" width="13.5703125" customWidth="1"/>
    <col min="2322" max="2324" width="11.42578125" customWidth="1"/>
    <col min="2561" max="2561" width="25.140625" customWidth="1"/>
    <col min="2562" max="2562" width="14.7109375" bestFit="1" customWidth="1"/>
    <col min="2563" max="2563" width="17.42578125" bestFit="1" customWidth="1"/>
    <col min="2564" max="2569" width="11.42578125" customWidth="1"/>
    <col min="2570" max="2570" width="6.42578125" customWidth="1"/>
    <col min="2571" max="2571" width="10.7109375" customWidth="1"/>
    <col min="2572" max="2572" width="16" customWidth="1"/>
    <col min="2573" max="2573" width="4.42578125" customWidth="1"/>
    <col min="2574" max="2574" width="15.28515625" customWidth="1"/>
    <col min="2575" max="2575" width="15.7109375" customWidth="1"/>
    <col min="2576" max="2576" width="17.42578125" bestFit="1" customWidth="1"/>
    <col min="2577" max="2577" width="13.5703125" customWidth="1"/>
    <col min="2578" max="2580" width="11.42578125" customWidth="1"/>
    <col min="2817" max="2817" width="25.140625" customWidth="1"/>
    <col min="2818" max="2818" width="14.7109375" bestFit="1" customWidth="1"/>
    <col min="2819" max="2819" width="17.42578125" bestFit="1" customWidth="1"/>
    <col min="2820" max="2825" width="11.42578125" customWidth="1"/>
    <col min="2826" max="2826" width="6.42578125" customWidth="1"/>
    <col min="2827" max="2827" width="10.7109375" customWidth="1"/>
    <col min="2828" max="2828" width="16" customWidth="1"/>
    <col min="2829" max="2829" width="4.42578125" customWidth="1"/>
    <col min="2830" max="2830" width="15.28515625" customWidth="1"/>
    <col min="2831" max="2831" width="15.7109375" customWidth="1"/>
    <col min="2832" max="2832" width="17.42578125" bestFit="1" customWidth="1"/>
    <col min="2833" max="2833" width="13.5703125" customWidth="1"/>
    <col min="2834" max="2836" width="11.42578125" customWidth="1"/>
    <col min="3073" max="3073" width="25.140625" customWidth="1"/>
    <col min="3074" max="3074" width="14.7109375" bestFit="1" customWidth="1"/>
    <col min="3075" max="3075" width="17.42578125" bestFit="1" customWidth="1"/>
    <col min="3076" max="3081" width="11.42578125" customWidth="1"/>
    <col min="3082" max="3082" width="6.42578125" customWidth="1"/>
    <col min="3083" max="3083" width="10.7109375" customWidth="1"/>
    <col min="3084" max="3084" width="16" customWidth="1"/>
    <col min="3085" max="3085" width="4.42578125" customWidth="1"/>
    <col min="3086" max="3086" width="15.28515625" customWidth="1"/>
    <col min="3087" max="3087" width="15.7109375" customWidth="1"/>
    <col min="3088" max="3088" width="17.42578125" bestFit="1" customWidth="1"/>
    <col min="3089" max="3089" width="13.5703125" customWidth="1"/>
    <col min="3090" max="3092" width="11.42578125" customWidth="1"/>
    <col min="3329" max="3329" width="25.140625" customWidth="1"/>
    <col min="3330" max="3330" width="14.7109375" bestFit="1" customWidth="1"/>
    <col min="3331" max="3331" width="17.42578125" bestFit="1" customWidth="1"/>
    <col min="3332" max="3337" width="11.42578125" customWidth="1"/>
    <col min="3338" max="3338" width="6.42578125" customWidth="1"/>
    <col min="3339" max="3339" width="10.7109375" customWidth="1"/>
    <col min="3340" max="3340" width="16" customWidth="1"/>
    <col min="3341" max="3341" width="4.42578125" customWidth="1"/>
    <col min="3342" max="3342" width="15.28515625" customWidth="1"/>
    <col min="3343" max="3343" width="15.7109375" customWidth="1"/>
    <col min="3344" max="3344" width="17.42578125" bestFit="1" customWidth="1"/>
    <col min="3345" max="3345" width="13.5703125" customWidth="1"/>
    <col min="3346" max="3348" width="11.42578125" customWidth="1"/>
    <col min="3585" max="3585" width="25.140625" customWidth="1"/>
    <col min="3586" max="3586" width="14.7109375" bestFit="1" customWidth="1"/>
    <col min="3587" max="3587" width="17.42578125" bestFit="1" customWidth="1"/>
    <col min="3588" max="3593" width="11.42578125" customWidth="1"/>
    <col min="3594" max="3594" width="6.42578125" customWidth="1"/>
    <col min="3595" max="3595" width="10.7109375" customWidth="1"/>
    <col min="3596" max="3596" width="16" customWidth="1"/>
    <col min="3597" max="3597" width="4.42578125" customWidth="1"/>
    <col min="3598" max="3598" width="15.28515625" customWidth="1"/>
    <col min="3599" max="3599" width="15.7109375" customWidth="1"/>
    <col min="3600" max="3600" width="17.42578125" bestFit="1" customWidth="1"/>
    <col min="3601" max="3601" width="13.5703125" customWidth="1"/>
    <col min="3602" max="3604" width="11.42578125" customWidth="1"/>
    <col min="3841" max="3841" width="25.140625" customWidth="1"/>
    <col min="3842" max="3842" width="14.7109375" bestFit="1" customWidth="1"/>
    <col min="3843" max="3843" width="17.42578125" bestFit="1" customWidth="1"/>
    <col min="3844" max="3849" width="11.42578125" customWidth="1"/>
    <col min="3850" max="3850" width="6.42578125" customWidth="1"/>
    <col min="3851" max="3851" width="10.7109375" customWidth="1"/>
    <col min="3852" max="3852" width="16" customWidth="1"/>
    <col min="3853" max="3853" width="4.42578125" customWidth="1"/>
    <col min="3854" max="3854" width="15.28515625" customWidth="1"/>
    <col min="3855" max="3855" width="15.7109375" customWidth="1"/>
    <col min="3856" max="3856" width="17.42578125" bestFit="1" customWidth="1"/>
    <col min="3857" max="3857" width="13.5703125" customWidth="1"/>
    <col min="3858" max="3860" width="11.42578125" customWidth="1"/>
    <col min="4097" max="4097" width="25.140625" customWidth="1"/>
    <col min="4098" max="4098" width="14.7109375" bestFit="1" customWidth="1"/>
    <col min="4099" max="4099" width="17.42578125" bestFit="1" customWidth="1"/>
    <col min="4100" max="4105" width="11.42578125" customWidth="1"/>
    <col min="4106" max="4106" width="6.42578125" customWidth="1"/>
    <col min="4107" max="4107" width="10.7109375" customWidth="1"/>
    <col min="4108" max="4108" width="16" customWidth="1"/>
    <col min="4109" max="4109" width="4.42578125" customWidth="1"/>
    <col min="4110" max="4110" width="15.28515625" customWidth="1"/>
    <col min="4111" max="4111" width="15.7109375" customWidth="1"/>
    <col min="4112" max="4112" width="17.42578125" bestFit="1" customWidth="1"/>
    <col min="4113" max="4113" width="13.5703125" customWidth="1"/>
    <col min="4114" max="4116" width="11.42578125" customWidth="1"/>
    <col min="4353" max="4353" width="25.140625" customWidth="1"/>
    <col min="4354" max="4354" width="14.7109375" bestFit="1" customWidth="1"/>
    <col min="4355" max="4355" width="17.42578125" bestFit="1" customWidth="1"/>
    <col min="4356" max="4361" width="11.42578125" customWidth="1"/>
    <col min="4362" max="4362" width="6.42578125" customWidth="1"/>
    <col min="4363" max="4363" width="10.7109375" customWidth="1"/>
    <col min="4364" max="4364" width="16" customWidth="1"/>
    <col min="4365" max="4365" width="4.42578125" customWidth="1"/>
    <col min="4366" max="4366" width="15.28515625" customWidth="1"/>
    <col min="4367" max="4367" width="15.7109375" customWidth="1"/>
    <col min="4368" max="4368" width="17.42578125" bestFit="1" customWidth="1"/>
    <col min="4369" max="4369" width="13.5703125" customWidth="1"/>
    <col min="4370" max="4372" width="11.42578125" customWidth="1"/>
    <col min="4609" max="4609" width="25.140625" customWidth="1"/>
    <col min="4610" max="4610" width="14.7109375" bestFit="1" customWidth="1"/>
    <col min="4611" max="4611" width="17.42578125" bestFit="1" customWidth="1"/>
    <col min="4612" max="4617" width="11.42578125" customWidth="1"/>
    <col min="4618" max="4618" width="6.42578125" customWidth="1"/>
    <col min="4619" max="4619" width="10.7109375" customWidth="1"/>
    <col min="4620" max="4620" width="16" customWidth="1"/>
    <col min="4621" max="4621" width="4.42578125" customWidth="1"/>
    <col min="4622" max="4622" width="15.28515625" customWidth="1"/>
    <col min="4623" max="4623" width="15.7109375" customWidth="1"/>
    <col min="4624" max="4624" width="17.42578125" bestFit="1" customWidth="1"/>
    <col min="4625" max="4625" width="13.5703125" customWidth="1"/>
    <col min="4626" max="4628" width="11.42578125" customWidth="1"/>
    <col min="4865" max="4865" width="25.140625" customWidth="1"/>
    <col min="4866" max="4866" width="14.7109375" bestFit="1" customWidth="1"/>
    <col min="4867" max="4867" width="17.42578125" bestFit="1" customWidth="1"/>
    <col min="4868" max="4873" width="11.42578125" customWidth="1"/>
    <col min="4874" max="4874" width="6.42578125" customWidth="1"/>
    <col min="4875" max="4875" width="10.7109375" customWidth="1"/>
    <col min="4876" max="4876" width="16" customWidth="1"/>
    <col min="4877" max="4877" width="4.42578125" customWidth="1"/>
    <col min="4878" max="4878" width="15.28515625" customWidth="1"/>
    <col min="4879" max="4879" width="15.7109375" customWidth="1"/>
    <col min="4880" max="4880" width="17.42578125" bestFit="1" customWidth="1"/>
    <col min="4881" max="4881" width="13.5703125" customWidth="1"/>
    <col min="4882" max="4884" width="11.42578125" customWidth="1"/>
    <col min="5121" max="5121" width="25.140625" customWidth="1"/>
    <col min="5122" max="5122" width="14.7109375" bestFit="1" customWidth="1"/>
    <col min="5123" max="5123" width="17.42578125" bestFit="1" customWidth="1"/>
    <col min="5124" max="5129" width="11.42578125" customWidth="1"/>
    <col min="5130" max="5130" width="6.42578125" customWidth="1"/>
    <col min="5131" max="5131" width="10.7109375" customWidth="1"/>
    <col min="5132" max="5132" width="16" customWidth="1"/>
    <col min="5133" max="5133" width="4.42578125" customWidth="1"/>
    <col min="5134" max="5134" width="15.28515625" customWidth="1"/>
    <col min="5135" max="5135" width="15.7109375" customWidth="1"/>
    <col min="5136" max="5136" width="17.42578125" bestFit="1" customWidth="1"/>
    <col min="5137" max="5137" width="13.5703125" customWidth="1"/>
    <col min="5138" max="5140" width="11.42578125" customWidth="1"/>
    <col min="5377" max="5377" width="25.140625" customWidth="1"/>
    <col min="5378" max="5378" width="14.7109375" bestFit="1" customWidth="1"/>
    <col min="5379" max="5379" width="17.42578125" bestFit="1" customWidth="1"/>
    <col min="5380" max="5385" width="11.42578125" customWidth="1"/>
    <col min="5386" max="5386" width="6.42578125" customWidth="1"/>
    <col min="5387" max="5387" width="10.7109375" customWidth="1"/>
    <col min="5388" max="5388" width="16" customWidth="1"/>
    <col min="5389" max="5389" width="4.42578125" customWidth="1"/>
    <col min="5390" max="5390" width="15.28515625" customWidth="1"/>
    <col min="5391" max="5391" width="15.7109375" customWidth="1"/>
    <col min="5392" max="5392" width="17.42578125" bestFit="1" customWidth="1"/>
    <col min="5393" max="5393" width="13.5703125" customWidth="1"/>
    <col min="5394" max="5396" width="11.42578125" customWidth="1"/>
    <col min="5633" max="5633" width="25.140625" customWidth="1"/>
    <col min="5634" max="5634" width="14.7109375" bestFit="1" customWidth="1"/>
    <col min="5635" max="5635" width="17.42578125" bestFit="1" customWidth="1"/>
    <col min="5636" max="5641" width="11.42578125" customWidth="1"/>
    <col min="5642" max="5642" width="6.42578125" customWidth="1"/>
    <col min="5643" max="5643" width="10.7109375" customWidth="1"/>
    <col min="5644" max="5644" width="16" customWidth="1"/>
    <col min="5645" max="5645" width="4.42578125" customWidth="1"/>
    <col min="5646" max="5646" width="15.28515625" customWidth="1"/>
    <col min="5647" max="5647" width="15.7109375" customWidth="1"/>
    <col min="5648" max="5648" width="17.42578125" bestFit="1" customWidth="1"/>
    <col min="5649" max="5649" width="13.5703125" customWidth="1"/>
    <col min="5650" max="5652" width="11.42578125" customWidth="1"/>
    <col min="5889" max="5889" width="25.140625" customWidth="1"/>
    <col min="5890" max="5890" width="14.7109375" bestFit="1" customWidth="1"/>
    <col min="5891" max="5891" width="17.42578125" bestFit="1" customWidth="1"/>
    <col min="5892" max="5897" width="11.42578125" customWidth="1"/>
    <col min="5898" max="5898" width="6.42578125" customWidth="1"/>
    <col min="5899" max="5899" width="10.7109375" customWidth="1"/>
    <col min="5900" max="5900" width="16" customWidth="1"/>
    <col min="5901" max="5901" width="4.42578125" customWidth="1"/>
    <col min="5902" max="5902" width="15.28515625" customWidth="1"/>
    <col min="5903" max="5903" width="15.7109375" customWidth="1"/>
    <col min="5904" max="5904" width="17.42578125" bestFit="1" customWidth="1"/>
    <col min="5905" max="5905" width="13.5703125" customWidth="1"/>
    <col min="5906" max="5908" width="11.42578125" customWidth="1"/>
    <col min="6145" max="6145" width="25.140625" customWidth="1"/>
    <col min="6146" max="6146" width="14.7109375" bestFit="1" customWidth="1"/>
    <col min="6147" max="6147" width="17.42578125" bestFit="1" customWidth="1"/>
    <col min="6148" max="6153" width="11.42578125" customWidth="1"/>
    <col min="6154" max="6154" width="6.42578125" customWidth="1"/>
    <col min="6155" max="6155" width="10.7109375" customWidth="1"/>
    <col min="6156" max="6156" width="16" customWidth="1"/>
    <col min="6157" max="6157" width="4.42578125" customWidth="1"/>
    <col min="6158" max="6158" width="15.28515625" customWidth="1"/>
    <col min="6159" max="6159" width="15.7109375" customWidth="1"/>
    <col min="6160" max="6160" width="17.42578125" bestFit="1" customWidth="1"/>
    <col min="6161" max="6161" width="13.5703125" customWidth="1"/>
    <col min="6162" max="6164" width="11.42578125" customWidth="1"/>
    <col min="6401" max="6401" width="25.140625" customWidth="1"/>
    <col min="6402" max="6402" width="14.7109375" bestFit="1" customWidth="1"/>
    <col min="6403" max="6403" width="17.42578125" bestFit="1" customWidth="1"/>
    <col min="6404" max="6409" width="11.42578125" customWidth="1"/>
    <col min="6410" max="6410" width="6.42578125" customWidth="1"/>
    <col min="6411" max="6411" width="10.7109375" customWidth="1"/>
    <col min="6412" max="6412" width="16" customWidth="1"/>
    <col min="6413" max="6413" width="4.42578125" customWidth="1"/>
    <col min="6414" max="6414" width="15.28515625" customWidth="1"/>
    <col min="6415" max="6415" width="15.7109375" customWidth="1"/>
    <col min="6416" max="6416" width="17.42578125" bestFit="1" customWidth="1"/>
    <col min="6417" max="6417" width="13.5703125" customWidth="1"/>
    <col min="6418" max="6420" width="11.42578125" customWidth="1"/>
    <col min="6657" max="6657" width="25.140625" customWidth="1"/>
    <col min="6658" max="6658" width="14.7109375" bestFit="1" customWidth="1"/>
    <col min="6659" max="6659" width="17.42578125" bestFit="1" customWidth="1"/>
    <col min="6660" max="6665" width="11.42578125" customWidth="1"/>
    <col min="6666" max="6666" width="6.42578125" customWidth="1"/>
    <col min="6667" max="6667" width="10.7109375" customWidth="1"/>
    <col min="6668" max="6668" width="16" customWidth="1"/>
    <col min="6669" max="6669" width="4.42578125" customWidth="1"/>
    <col min="6670" max="6670" width="15.28515625" customWidth="1"/>
    <col min="6671" max="6671" width="15.7109375" customWidth="1"/>
    <col min="6672" max="6672" width="17.42578125" bestFit="1" customWidth="1"/>
    <col min="6673" max="6673" width="13.5703125" customWidth="1"/>
    <col min="6674" max="6676" width="11.42578125" customWidth="1"/>
    <col min="6913" max="6913" width="25.140625" customWidth="1"/>
    <col min="6914" max="6914" width="14.7109375" bestFit="1" customWidth="1"/>
    <col min="6915" max="6915" width="17.42578125" bestFit="1" customWidth="1"/>
    <col min="6916" max="6921" width="11.42578125" customWidth="1"/>
    <col min="6922" max="6922" width="6.42578125" customWidth="1"/>
    <col min="6923" max="6923" width="10.7109375" customWidth="1"/>
    <col min="6924" max="6924" width="16" customWidth="1"/>
    <col min="6925" max="6925" width="4.42578125" customWidth="1"/>
    <col min="6926" max="6926" width="15.28515625" customWidth="1"/>
    <col min="6927" max="6927" width="15.7109375" customWidth="1"/>
    <col min="6928" max="6928" width="17.42578125" bestFit="1" customWidth="1"/>
    <col min="6929" max="6929" width="13.5703125" customWidth="1"/>
    <col min="6930" max="6932" width="11.42578125" customWidth="1"/>
    <col min="7169" max="7169" width="25.140625" customWidth="1"/>
    <col min="7170" max="7170" width="14.7109375" bestFit="1" customWidth="1"/>
    <col min="7171" max="7171" width="17.42578125" bestFit="1" customWidth="1"/>
    <col min="7172" max="7177" width="11.42578125" customWidth="1"/>
    <col min="7178" max="7178" width="6.42578125" customWidth="1"/>
    <col min="7179" max="7179" width="10.7109375" customWidth="1"/>
    <col min="7180" max="7180" width="16" customWidth="1"/>
    <col min="7181" max="7181" width="4.42578125" customWidth="1"/>
    <col min="7182" max="7182" width="15.28515625" customWidth="1"/>
    <col min="7183" max="7183" width="15.7109375" customWidth="1"/>
    <col min="7184" max="7184" width="17.42578125" bestFit="1" customWidth="1"/>
    <col min="7185" max="7185" width="13.5703125" customWidth="1"/>
    <col min="7186" max="7188" width="11.42578125" customWidth="1"/>
    <col min="7425" max="7425" width="25.140625" customWidth="1"/>
    <col min="7426" max="7426" width="14.7109375" bestFit="1" customWidth="1"/>
    <col min="7427" max="7427" width="17.42578125" bestFit="1" customWidth="1"/>
    <col min="7428" max="7433" width="11.42578125" customWidth="1"/>
    <col min="7434" max="7434" width="6.42578125" customWidth="1"/>
    <col min="7435" max="7435" width="10.7109375" customWidth="1"/>
    <col min="7436" max="7436" width="16" customWidth="1"/>
    <col min="7437" max="7437" width="4.42578125" customWidth="1"/>
    <col min="7438" max="7438" width="15.28515625" customWidth="1"/>
    <col min="7439" max="7439" width="15.7109375" customWidth="1"/>
    <col min="7440" max="7440" width="17.42578125" bestFit="1" customWidth="1"/>
    <col min="7441" max="7441" width="13.5703125" customWidth="1"/>
    <col min="7442" max="7444" width="11.42578125" customWidth="1"/>
    <col min="7681" max="7681" width="25.140625" customWidth="1"/>
    <col min="7682" max="7682" width="14.7109375" bestFit="1" customWidth="1"/>
    <col min="7683" max="7683" width="17.42578125" bestFit="1" customWidth="1"/>
    <col min="7684" max="7689" width="11.42578125" customWidth="1"/>
    <col min="7690" max="7690" width="6.42578125" customWidth="1"/>
    <col min="7691" max="7691" width="10.7109375" customWidth="1"/>
    <col min="7692" max="7692" width="16" customWidth="1"/>
    <col min="7693" max="7693" width="4.42578125" customWidth="1"/>
    <col min="7694" max="7694" width="15.28515625" customWidth="1"/>
    <col min="7695" max="7695" width="15.7109375" customWidth="1"/>
    <col min="7696" max="7696" width="17.42578125" bestFit="1" customWidth="1"/>
    <col min="7697" max="7697" width="13.5703125" customWidth="1"/>
    <col min="7698" max="7700" width="11.42578125" customWidth="1"/>
    <col min="7937" max="7937" width="25.140625" customWidth="1"/>
    <col min="7938" max="7938" width="14.7109375" bestFit="1" customWidth="1"/>
    <col min="7939" max="7939" width="17.42578125" bestFit="1" customWidth="1"/>
    <col min="7940" max="7945" width="11.42578125" customWidth="1"/>
    <col min="7946" max="7946" width="6.42578125" customWidth="1"/>
    <col min="7947" max="7947" width="10.7109375" customWidth="1"/>
    <col min="7948" max="7948" width="16" customWidth="1"/>
    <col min="7949" max="7949" width="4.42578125" customWidth="1"/>
    <col min="7950" max="7950" width="15.28515625" customWidth="1"/>
    <col min="7951" max="7951" width="15.7109375" customWidth="1"/>
    <col min="7952" max="7952" width="17.42578125" bestFit="1" customWidth="1"/>
    <col min="7953" max="7953" width="13.5703125" customWidth="1"/>
    <col min="7954" max="7956" width="11.42578125" customWidth="1"/>
    <col min="8193" max="8193" width="25.140625" customWidth="1"/>
    <col min="8194" max="8194" width="14.7109375" bestFit="1" customWidth="1"/>
    <col min="8195" max="8195" width="17.42578125" bestFit="1" customWidth="1"/>
    <col min="8196" max="8201" width="11.42578125" customWidth="1"/>
    <col min="8202" max="8202" width="6.42578125" customWidth="1"/>
    <col min="8203" max="8203" width="10.7109375" customWidth="1"/>
    <col min="8204" max="8204" width="16" customWidth="1"/>
    <col min="8205" max="8205" width="4.42578125" customWidth="1"/>
    <col min="8206" max="8206" width="15.28515625" customWidth="1"/>
    <col min="8207" max="8207" width="15.7109375" customWidth="1"/>
    <col min="8208" max="8208" width="17.42578125" bestFit="1" customWidth="1"/>
    <col min="8209" max="8209" width="13.5703125" customWidth="1"/>
    <col min="8210" max="8212" width="11.42578125" customWidth="1"/>
    <col min="8449" max="8449" width="25.140625" customWidth="1"/>
    <col min="8450" max="8450" width="14.7109375" bestFit="1" customWidth="1"/>
    <col min="8451" max="8451" width="17.42578125" bestFit="1" customWidth="1"/>
    <col min="8452" max="8457" width="11.42578125" customWidth="1"/>
    <col min="8458" max="8458" width="6.42578125" customWidth="1"/>
    <col min="8459" max="8459" width="10.7109375" customWidth="1"/>
    <col min="8460" max="8460" width="16" customWidth="1"/>
    <col min="8461" max="8461" width="4.42578125" customWidth="1"/>
    <col min="8462" max="8462" width="15.28515625" customWidth="1"/>
    <col min="8463" max="8463" width="15.7109375" customWidth="1"/>
    <col min="8464" max="8464" width="17.42578125" bestFit="1" customWidth="1"/>
    <col min="8465" max="8465" width="13.5703125" customWidth="1"/>
    <col min="8466" max="8468" width="11.42578125" customWidth="1"/>
    <col min="8705" max="8705" width="25.140625" customWidth="1"/>
    <col min="8706" max="8706" width="14.7109375" bestFit="1" customWidth="1"/>
    <col min="8707" max="8707" width="17.42578125" bestFit="1" customWidth="1"/>
    <col min="8708" max="8713" width="11.42578125" customWidth="1"/>
    <col min="8714" max="8714" width="6.42578125" customWidth="1"/>
    <col min="8715" max="8715" width="10.7109375" customWidth="1"/>
    <col min="8716" max="8716" width="16" customWidth="1"/>
    <col min="8717" max="8717" width="4.42578125" customWidth="1"/>
    <col min="8718" max="8718" width="15.28515625" customWidth="1"/>
    <col min="8719" max="8719" width="15.7109375" customWidth="1"/>
    <col min="8720" max="8720" width="17.42578125" bestFit="1" customWidth="1"/>
    <col min="8721" max="8721" width="13.5703125" customWidth="1"/>
    <col min="8722" max="8724" width="11.42578125" customWidth="1"/>
    <col min="8961" max="8961" width="25.140625" customWidth="1"/>
    <col min="8962" max="8962" width="14.7109375" bestFit="1" customWidth="1"/>
    <col min="8963" max="8963" width="17.42578125" bestFit="1" customWidth="1"/>
    <col min="8964" max="8969" width="11.42578125" customWidth="1"/>
    <col min="8970" max="8970" width="6.42578125" customWidth="1"/>
    <col min="8971" max="8971" width="10.7109375" customWidth="1"/>
    <col min="8972" max="8972" width="16" customWidth="1"/>
    <col min="8973" max="8973" width="4.42578125" customWidth="1"/>
    <col min="8974" max="8974" width="15.28515625" customWidth="1"/>
    <col min="8975" max="8975" width="15.7109375" customWidth="1"/>
    <col min="8976" max="8976" width="17.42578125" bestFit="1" customWidth="1"/>
    <col min="8977" max="8977" width="13.5703125" customWidth="1"/>
    <col min="8978" max="8980" width="11.42578125" customWidth="1"/>
    <col min="9217" max="9217" width="25.140625" customWidth="1"/>
    <col min="9218" max="9218" width="14.7109375" bestFit="1" customWidth="1"/>
    <col min="9219" max="9219" width="17.42578125" bestFit="1" customWidth="1"/>
    <col min="9220" max="9225" width="11.42578125" customWidth="1"/>
    <col min="9226" max="9226" width="6.42578125" customWidth="1"/>
    <col min="9227" max="9227" width="10.7109375" customWidth="1"/>
    <col min="9228" max="9228" width="16" customWidth="1"/>
    <col min="9229" max="9229" width="4.42578125" customWidth="1"/>
    <col min="9230" max="9230" width="15.28515625" customWidth="1"/>
    <col min="9231" max="9231" width="15.7109375" customWidth="1"/>
    <col min="9232" max="9232" width="17.42578125" bestFit="1" customWidth="1"/>
    <col min="9233" max="9233" width="13.5703125" customWidth="1"/>
    <col min="9234" max="9236" width="11.42578125" customWidth="1"/>
    <col min="9473" max="9473" width="25.140625" customWidth="1"/>
    <col min="9474" max="9474" width="14.7109375" bestFit="1" customWidth="1"/>
    <col min="9475" max="9475" width="17.42578125" bestFit="1" customWidth="1"/>
    <col min="9476" max="9481" width="11.42578125" customWidth="1"/>
    <col min="9482" max="9482" width="6.42578125" customWidth="1"/>
    <col min="9483" max="9483" width="10.7109375" customWidth="1"/>
    <col min="9484" max="9484" width="16" customWidth="1"/>
    <col min="9485" max="9485" width="4.42578125" customWidth="1"/>
    <col min="9486" max="9486" width="15.28515625" customWidth="1"/>
    <col min="9487" max="9487" width="15.7109375" customWidth="1"/>
    <col min="9488" max="9488" width="17.42578125" bestFit="1" customWidth="1"/>
    <col min="9489" max="9489" width="13.5703125" customWidth="1"/>
    <col min="9490" max="9492" width="11.42578125" customWidth="1"/>
    <col min="9729" max="9729" width="25.140625" customWidth="1"/>
    <col min="9730" max="9730" width="14.7109375" bestFit="1" customWidth="1"/>
    <col min="9731" max="9731" width="17.42578125" bestFit="1" customWidth="1"/>
    <col min="9732" max="9737" width="11.42578125" customWidth="1"/>
    <col min="9738" max="9738" width="6.42578125" customWidth="1"/>
    <col min="9739" max="9739" width="10.7109375" customWidth="1"/>
    <col min="9740" max="9740" width="16" customWidth="1"/>
    <col min="9741" max="9741" width="4.42578125" customWidth="1"/>
    <col min="9742" max="9742" width="15.28515625" customWidth="1"/>
    <col min="9743" max="9743" width="15.7109375" customWidth="1"/>
    <col min="9744" max="9744" width="17.42578125" bestFit="1" customWidth="1"/>
    <col min="9745" max="9745" width="13.5703125" customWidth="1"/>
    <col min="9746" max="9748" width="11.42578125" customWidth="1"/>
    <col min="9985" max="9985" width="25.140625" customWidth="1"/>
    <col min="9986" max="9986" width="14.7109375" bestFit="1" customWidth="1"/>
    <col min="9987" max="9987" width="17.42578125" bestFit="1" customWidth="1"/>
    <col min="9988" max="9993" width="11.42578125" customWidth="1"/>
    <col min="9994" max="9994" width="6.42578125" customWidth="1"/>
    <col min="9995" max="9995" width="10.7109375" customWidth="1"/>
    <col min="9996" max="9996" width="16" customWidth="1"/>
    <col min="9997" max="9997" width="4.42578125" customWidth="1"/>
    <col min="9998" max="9998" width="15.28515625" customWidth="1"/>
    <col min="9999" max="9999" width="15.7109375" customWidth="1"/>
    <col min="10000" max="10000" width="17.42578125" bestFit="1" customWidth="1"/>
    <col min="10001" max="10001" width="13.5703125" customWidth="1"/>
    <col min="10002" max="10004" width="11.42578125" customWidth="1"/>
    <col min="10241" max="10241" width="25.140625" customWidth="1"/>
    <col min="10242" max="10242" width="14.7109375" bestFit="1" customWidth="1"/>
    <col min="10243" max="10243" width="17.42578125" bestFit="1" customWidth="1"/>
    <col min="10244" max="10249" width="11.42578125" customWidth="1"/>
    <col min="10250" max="10250" width="6.42578125" customWidth="1"/>
    <col min="10251" max="10251" width="10.7109375" customWidth="1"/>
    <col min="10252" max="10252" width="16" customWidth="1"/>
    <col min="10253" max="10253" width="4.42578125" customWidth="1"/>
    <col min="10254" max="10254" width="15.28515625" customWidth="1"/>
    <col min="10255" max="10255" width="15.7109375" customWidth="1"/>
    <col min="10256" max="10256" width="17.42578125" bestFit="1" customWidth="1"/>
    <col min="10257" max="10257" width="13.5703125" customWidth="1"/>
    <col min="10258" max="10260" width="11.42578125" customWidth="1"/>
    <col min="10497" max="10497" width="25.140625" customWidth="1"/>
    <col min="10498" max="10498" width="14.7109375" bestFit="1" customWidth="1"/>
    <col min="10499" max="10499" width="17.42578125" bestFit="1" customWidth="1"/>
    <col min="10500" max="10505" width="11.42578125" customWidth="1"/>
    <col min="10506" max="10506" width="6.42578125" customWidth="1"/>
    <col min="10507" max="10507" width="10.7109375" customWidth="1"/>
    <col min="10508" max="10508" width="16" customWidth="1"/>
    <col min="10509" max="10509" width="4.42578125" customWidth="1"/>
    <col min="10510" max="10510" width="15.28515625" customWidth="1"/>
    <col min="10511" max="10511" width="15.7109375" customWidth="1"/>
    <col min="10512" max="10512" width="17.42578125" bestFit="1" customWidth="1"/>
    <col min="10513" max="10513" width="13.5703125" customWidth="1"/>
    <col min="10514" max="10516" width="11.42578125" customWidth="1"/>
    <col min="10753" max="10753" width="25.140625" customWidth="1"/>
    <col min="10754" max="10754" width="14.7109375" bestFit="1" customWidth="1"/>
    <col min="10755" max="10755" width="17.42578125" bestFit="1" customWidth="1"/>
    <col min="10756" max="10761" width="11.42578125" customWidth="1"/>
    <col min="10762" max="10762" width="6.42578125" customWidth="1"/>
    <col min="10763" max="10763" width="10.7109375" customWidth="1"/>
    <col min="10764" max="10764" width="16" customWidth="1"/>
    <col min="10765" max="10765" width="4.42578125" customWidth="1"/>
    <col min="10766" max="10766" width="15.28515625" customWidth="1"/>
    <col min="10767" max="10767" width="15.7109375" customWidth="1"/>
    <col min="10768" max="10768" width="17.42578125" bestFit="1" customWidth="1"/>
    <col min="10769" max="10769" width="13.5703125" customWidth="1"/>
    <col min="10770" max="10772" width="11.42578125" customWidth="1"/>
    <col min="11009" max="11009" width="25.140625" customWidth="1"/>
    <col min="11010" max="11010" width="14.7109375" bestFit="1" customWidth="1"/>
    <col min="11011" max="11011" width="17.42578125" bestFit="1" customWidth="1"/>
    <col min="11012" max="11017" width="11.42578125" customWidth="1"/>
    <col min="11018" max="11018" width="6.42578125" customWidth="1"/>
    <col min="11019" max="11019" width="10.7109375" customWidth="1"/>
    <col min="11020" max="11020" width="16" customWidth="1"/>
    <col min="11021" max="11021" width="4.42578125" customWidth="1"/>
    <col min="11022" max="11022" width="15.28515625" customWidth="1"/>
    <col min="11023" max="11023" width="15.7109375" customWidth="1"/>
    <col min="11024" max="11024" width="17.42578125" bestFit="1" customWidth="1"/>
    <col min="11025" max="11025" width="13.5703125" customWidth="1"/>
    <col min="11026" max="11028" width="11.42578125" customWidth="1"/>
    <col min="11265" max="11265" width="25.140625" customWidth="1"/>
    <col min="11266" max="11266" width="14.7109375" bestFit="1" customWidth="1"/>
    <col min="11267" max="11267" width="17.42578125" bestFit="1" customWidth="1"/>
    <col min="11268" max="11273" width="11.42578125" customWidth="1"/>
    <col min="11274" max="11274" width="6.42578125" customWidth="1"/>
    <col min="11275" max="11275" width="10.7109375" customWidth="1"/>
    <col min="11276" max="11276" width="16" customWidth="1"/>
    <col min="11277" max="11277" width="4.42578125" customWidth="1"/>
    <col min="11278" max="11278" width="15.28515625" customWidth="1"/>
    <col min="11279" max="11279" width="15.7109375" customWidth="1"/>
    <col min="11280" max="11280" width="17.42578125" bestFit="1" customWidth="1"/>
    <col min="11281" max="11281" width="13.5703125" customWidth="1"/>
    <col min="11282" max="11284" width="11.42578125" customWidth="1"/>
    <col min="11521" max="11521" width="25.140625" customWidth="1"/>
    <col min="11522" max="11522" width="14.7109375" bestFit="1" customWidth="1"/>
    <col min="11523" max="11523" width="17.42578125" bestFit="1" customWidth="1"/>
    <col min="11524" max="11529" width="11.42578125" customWidth="1"/>
    <col min="11530" max="11530" width="6.42578125" customWidth="1"/>
    <col min="11531" max="11531" width="10.7109375" customWidth="1"/>
    <col min="11532" max="11532" width="16" customWidth="1"/>
    <col min="11533" max="11533" width="4.42578125" customWidth="1"/>
    <col min="11534" max="11534" width="15.28515625" customWidth="1"/>
    <col min="11535" max="11535" width="15.7109375" customWidth="1"/>
    <col min="11536" max="11536" width="17.42578125" bestFit="1" customWidth="1"/>
    <col min="11537" max="11537" width="13.5703125" customWidth="1"/>
    <col min="11538" max="11540" width="11.42578125" customWidth="1"/>
    <col min="11777" max="11777" width="25.140625" customWidth="1"/>
    <col min="11778" max="11778" width="14.7109375" bestFit="1" customWidth="1"/>
    <col min="11779" max="11779" width="17.42578125" bestFit="1" customWidth="1"/>
    <col min="11780" max="11785" width="11.42578125" customWidth="1"/>
    <col min="11786" max="11786" width="6.42578125" customWidth="1"/>
    <col min="11787" max="11787" width="10.7109375" customWidth="1"/>
    <col min="11788" max="11788" width="16" customWidth="1"/>
    <col min="11789" max="11789" width="4.42578125" customWidth="1"/>
    <col min="11790" max="11790" width="15.28515625" customWidth="1"/>
    <col min="11791" max="11791" width="15.7109375" customWidth="1"/>
    <col min="11792" max="11792" width="17.42578125" bestFit="1" customWidth="1"/>
    <col min="11793" max="11793" width="13.5703125" customWidth="1"/>
    <col min="11794" max="11796" width="11.42578125" customWidth="1"/>
    <col min="12033" max="12033" width="25.140625" customWidth="1"/>
    <col min="12034" max="12034" width="14.7109375" bestFit="1" customWidth="1"/>
    <col min="12035" max="12035" width="17.42578125" bestFit="1" customWidth="1"/>
    <col min="12036" max="12041" width="11.42578125" customWidth="1"/>
    <col min="12042" max="12042" width="6.42578125" customWidth="1"/>
    <col min="12043" max="12043" width="10.7109375" customWidth="1"/>
    <col min="12044" max="12044" width="16" customWidth="1"/>
    <col min="12045" max="12045" width="4.42578125" customWidth="1"/>
    <col min="12046" max="12046" width="15.28515625" customWidth="1"/>
    <col min="12047" max="12047" width="15.7109375" customWidth="1"/>
    <col min="12048" max="12048" width="17.42578125" bestFit="1" customWidth="1"/>
    <col min="12049" max="12049" width="13.5703125" customWidth="1"/>
    <col min="12050" max="12052" width="11.42578125" customWidth="1"/>
    <col min="12289" max="12289" width="25.140625" customWidth="1"/>
    <col min="12290" max="12290" width="14.7109375" bestFit="1" customWidth="1"/>
    <col min="12291" max="12291" width="17.42578125" bestFit="1" customWidth="1"/>
    <col min="12292" max="12297" width="11.42578125" customWidth="1"/>
    <col min="12298" max="12298" width="6.42578125" customWidth="1"/>
    <col min="12299" max="12299" width="10.7109375" customWidth="1"/>
    <col min="12300" max="12300" width="16" customWidth="1"/>
    <col min="12301" max="12301" width="4.42578125" customWidth="1"/>
    <col min="12302" max="12302" width="15.28515625" customWidth="1"/>
    <col min="12303" max="12303" width="15.7109375" customWidth="1"/>
    <col min="12304" max="12304" width="17.42578125" bestFit="1" customWidth="1"/>
    <col min="12305" max="12305" width="13.5703125" customWidth="1"/>
    <col min="12306" max="12308" width="11.42578125" customWidth="1"/>
    <col min="12545" max="12545" width="25.140625" customWidth="1"/>
    <col min="12546" max="12546" width="14.7109375" bestFit="1" customWidth="1"/>
    <col min="12547" max="12547" width="17.42578125" bestFit="1" customWidth="1"/>
    <col min="12548" max="12553" width="11.42578125" customWidth="1"/>
    <col min="12554" max="12554" width="6.42578125" customWidth="1"/>
    <col min="12555" max="12555" width="10.7109375" customWidth="1"/>
    <col min="12556" max="12556" width="16" customWidth="1"/>
    <col min="12557" max="12557" width="4.42578125" customWidth="1"/>
    <col min="12558" max="12558" width="15.28515625" customWidth="1"/>
    <col min="12559" max="12559" width="15.7109375" customWidth="1"/>
    <col min="12560" max="12560" width="17.42578125" bestFit="1" customWidth="1"/>
    <col min="12561" max="12561" width="13.5703125" customWidth="1"/>
    <col min="12562" max="12564" width="11.42578125" customWidth="1"/>
    <col min="12801" max="12801" width="25.140625" customWidth="1"/>
    <col min="12802" max="12802" width="14.7109375" bestFit="1" customWidth="1"/>
    <col min="12803" max="12803" width="17.42578125" bestFit="1" customWidth="1"/>
    <col min="12804" max="12809" width="11.42578125" customWidth="1"/>
    <col min="12810" max="12810" width="6.42578125" customWidth="1"/>
    <col min="12811" max="12811" width="10.7109375" customWidth="1"/>
    <col min="12812" max="12812" width="16" customWidth="1"/>
    <col min="12813" max="12813" width="4.42578125" customWidth="1"/>
    <col min="12814" max="12814" width="15.28515625" customWidth="1"/>
    <col min="12815" max="12815" width="15.7109375" customWidth="1"/>
    <col min="12816" max="12816" width="17.42578125" bestFit="1" customWidth="1"/>
    <col min="12817" max="12817" width="13.5703125" customWidth="1"/>
    <col min="12818" max="12820" width="11.42578125" customWidth="1"/>
    <col min="13057" max="13057" width="25.140625" customWidth="1"/>
    <col min="13058" max="13058" width="14.7109375" bestFit="1" customWidth="1"/>
    <col min="13059" max="13059" width="17.42578125" bestFit="1" customWidth="1"/>
    <col min="13060" max="13065" width="11.42578125" customWidth="1"/>
    <col min="13066" max="13066" width="6.42578125" customWidth="1"/>
    <col min="13067" max="13067" width="10.7109375" customWidth="1"/>
    <col min="13068" max="13068" width="16" customWidth="1"/>
    <col min="13069" max="13069" width="4.42578125" customWidth="1"/>
    <col min="13070" max="13070" width="15.28515625" customWidth="1"/>
    <col min="13071" max="13071" width="15.7109375" customWidth="1"/>
    <col min="13072" max="13072" width="17.42578125" bestFit="1" customWidth="1"/>
    <col min="13073" max="13073" width="13.5703125" customWidth="1"/>
    <col min="13074" max="13076" width="11.42578125" customWidth="1"/>
    <col min="13313" max="13313" width="25.140625" customWidth="1"/>
    <col min="13314" max="13314" width="14.7109375" bestFit="1" customWidth="1"/>
    <col min="13315" max="13315" width="17.42578125" bestFit="1" customWidth="1"/>
    <col min="13316" max="13321" width="11.42578125" customWidth="1"/>
    <col min="13322" max="13322" width="6.42578125" customWidth="1"/>
    <col min="13323" max="13323" width="10.7109375" customWidth="1"/>
    <col min="13324" max="13324" width="16" customWidth="1"/>
    <col min="13325" max="13325" width="4.42578125" customWidth="1"/>
    <col min="13326" max="13326" width="15.28515625" customWidth="1"/>
    <col min="13327" max="13327" width="15.7109375" customWidth="1"/>
    <col min="13328" max="13328" width="17.42578125" bestFit="1" customWidth="1"/>
    <col min="13329" max="13329" width="13.5703125" customWidth="1"/>
    <col min="13330" max="13332" width="11.42578125" customWidth="1"/>
    <col min="13569" max="13569" width="25.140625" customWidth="1"/>
    <col min="13570" max="13570" width="14.7109375" bestFit="1" customWidth="1"/>
    <col min="13571" max="13571" width="17.42578125" bestFit="1" customWidth="1"/>
    <col min="13572" max="13577" width="11.42578125" customWidth="1"/>
    <col min="13578" max="13578" width="6.42578125" customWidth="1"/>
    <col min="13579" max="13579" width="10.7109375" customWidth="1"/>
    <col min="13580" max="13580" width="16" customWidth="1"/>
    <col min="13581" max="13581" width="4.42578125" customWidth="1"/>
    <col min="13582" max="13582" width="15.28515625" customWidth="1"/>
    <col min="13583" max="13583" width="15.7109375" customWidth="1"/>
    <col min="13584" max="13584" width="17.42578125" bestFit="1" customWidth="1"/>
    <col min="13585" max="13585" width="13.5703125" customWidth="1"/>
    <col min="13586" max="13588" width="11.42578125" customWidth="1"/>
    <col min="13825" max="13825" width="25.140625" customWidth="1"/>
    <col min="13826" max="13826" width="14.7109375" bestFit="1" customWidth="1"/>
    <col min="13827" max="13827" width="17.42578125" bestFit="1" customWidth="1"/>
    <col min="13828" max="13833" width="11.42578125" customWidth="1"/>
    <col min="13834" max="13834" width="6.42578125" customWidth="1"/>
    <col min="13835" max="13835" width="10.7109375" customWidth="1"/>
    <col min="13836" max="13836" width="16" customWidth="1"/>
    <col min="13837" max="13837" width="4.42578125" customWidth="1"/>
    <col min="13838" max="13838" width="15.28515625" customWidth="1"/>
    <col min="13839" max="13839" width="15.7109375" customWidth="1"/>
    <col min="13840" max="13840" width="17.42578125" bestFit="1" customWidth="1"/>
    <col min="13841" max="13841" width="13.5703125" customWidth="1"/>
    <col min="13842" max="13844" width="11.42578125" customWidth="1"/>
    <col min="14081" max="14081" width="25.140625" customWidth="1"/>
    <col min="14082" max="14082" width="14.7109375" bestFit="1" customWidth="1"/>
    <col min="14083" max="14083" width="17.42578125" bestFit="1" customWidth="1"/>
    <col min="14084" max="14089" width="11.42578125" customWidth="1"/>
    <col min="14090" max="14090" width="6.42578125" customWidth="1"/>
    <col min="14091" max="14091" width="10.7109375" customWidth="1"/>
    <col min="14092" max="14092" width="16" customWidth="1"/>
    <col min="14093" max="14093" width="4.42578125" customWidth="1"/>
    <col min="14094" max="14094" width="15.28515625" customWidth="1"/>
    <col min="14095" max="14095" width="15.7109375" customWidth="1"/>
    <col min="14096" max="14096" width="17.42578125" bestFit="1" customWidth="1"/>
    <col min="14097" max="14097" width="13.5703125" customWidth="1"/>
    <col min="14098" max="14100" width="11.42578125" customWidth="1"/>
    <col min="14337" max="14337" width="25.140625" customWidth="1"/>
    <col min="14338" max="14338" width="14.7109375" bestFit="1" customWidth="1"/>
    <col min="14339" max="14339" width="17.42578125" bestFit="1" customWidth="1"/>
    <col min="14340" max="14345" width="11.42578125" customWidth="1"/>
    <col min="14346" max="14346" width="6.42578125" customWidth="1"/>
    <col min="14347" max="14347" width="10.7109375" customWidth="1"/>
    <col min="14348" max="14348" width="16" customWidth="1"/>
    <col min="14349" max="14349" width="4.42578125" customWidth="1"/>
    <col min="14350" max="14350" width="15.28515625" customWidth="1"/>
    <col min="14351" max="14351" width="15.7109375" customWidth="1"/>
    <col min="14352" max="14352" width="17.42578125" bestFit="1" customWidth="1"/>
    <col min="14353" max="14353" width="13.5703125" customWidth="1"/>
    <col min="14354" max="14356" width="11.42578125" customWidth="1"/>
    <col min="14593" max="14593" width="25.140625" customWidth="1"/>
    <col min="14594" max="14594" width="14.7109375" bestFit="1" customWidth="1"/>
    <col min="14595" max="14595" width="17.42578125" bestFit="1" customWidth="1"/>
    <col min="14596" max="14601" width="11.42578125" customWidth="1"/>
    <col min="14602" max="14602" width="6.42578125" customWidth="1"/>
    <col min="14603" max="14603" width="10.7109375" customWidth="1"/>
    <col min="14604" max="14604" width="16" customWidth="1"/>
    <col min="14605" max="14605" width="4.42578125" customWidth="1"/>
    <col min="14606" max="14606" width="15.28515625" customWidth="1"/>
    <col min="14607" max="14607" width="15.7109375" customWidth="1"/>
    <col min="14608" max="14608" width="17.42578125" bestFit="1" customWidth="1"/>
    <col min="14609" max="14609" width="13.5703125" customWidth="1"/>
    <col min="14610" max="14612" width="11.42578125" customWidth="1"/>
    <col min="14849" max="14849" width="25.140625" customWidth="1"/>
    <col min="14850" max="14850" width="14.7109375" bestFit="1" customWidth="1"/>
    <col min="14851" max="14851" width="17.42578125" bestFit="1" customWidth="1"/>
    <col min="14852" max="14857" width="11.42578125" customWidth="1"/>
    <col min="14858" max="14858" width="6.42578125" customWidth="1"/>
    <col min="14859" max="14859" width="10.7109375" customWidth="1"/>
    <col min="14860" max="14860" width="16" customWidth="1"/>
    <col min="14861" max="14861" width="4.42578125" customWidth="1"/>
    <col min="14862" max="14862" width="15.28515625" customWidth="1"/>
    <col min="14863" max="14863" width="15.7109375" customWidth="1"/>
    <col min="14864" max="14864" width="17.42578125" bestFit="1" customWidth="1"/>
    <col min="14865" max="14865" width="13.5703125" customWidth="1"/>
    <col min="14866" max="14868" width="11.42578125" customWidth="1"/>
    <col min="15105" max="15105" width="25.140625" customWidth="1"/>
    <col min="15106" max="15106" width="14.7109375" bestFit="1" customWidth="1"/>
    <col min="15107" max="15107" width="17.42578125" bestFit="1" customWidth="1"/>
    <col min="15108" max="15113" width="11.42578125" customWidth="1"/>
    <col min="15114" max="15114" width="6.42578125" customWidth="1"/>
    <col min="15115" max="15115" width="10.7109375" customWidth="1"/>
    <col min="15116" max="15116" width="16" customWidth="1"/>
    <col min="15117" max="15117" width="4.42578125" customWidth="1"/>
    <col min="15118" max="15118" width="15.28515625" customWidth="1"/>
    <col min="15119" max="15119" width="15.7109375" customWidth="1"/>
    <col min="15120" max="15120" width="17.42578125" bestFit="1" customWidth="1"/>
    <col min="15121" max="15121" width="13.5703125" customWidth="1"/>
    <col min="15122" max="15124" width="11.42578125" customWidth="1"/>
    <col min="15361" max="15361" width="25.140625" customWidth="1"/>
    <col min="15362" max="15362" width="14.7109375" bestFit="1" customWidth="1"/>
    <col min="15363" max="15363" width="17.42578125" bestFit="1" customWidth="1"/>
    <col min="15364" max="15369" width="11.42578125" customWidth="1"/>
    <col min="15370" max="15370" width="6.42578125" customWidth="1"/>
    <col min="15371" max="15371" width="10.7109375" customWidth="1"/>
    <col min="15372" max="15372" width="16" customWidth="1"/>
    <col min="15373" max="15373" width="4.42578125" customWidth="1"/>
    <col min="15374" max="15374" width="15.28515625" customWidth="1"/>
    <col min="15375" max="15375" width="15.7109375" customWidth="1"/>
    <col min="15376" max="15376" width="17.42578125" bestFit="1" customWidth="1"/>
    <col min="15377" max="15377" width="13.5703125" customWidth="1"/>
    <col min="15378" max="15380" width="11.42578125" customWidth="1"/>
    <col min="15617" max="15617" width="25.140625" customWidth="1"/>
    <col min="15618" max="15618" width="14.7109375" bestFit="1" customWidth="1"/>
    <col min="15619" max="15619" width="17.42578125" bestFit="1" customWidth="1"/>
    <col min="15620" max="15625" width="11.42578125" customWidth="1"/>
    <col min="15626" max="15626" width="6.42578125" customWidth="1"/>
    <col min="15627" max="15627" width="10.7109375" customWidth="1"/>
    <col min="15628" max="15628" width="16" customWidth="1"/>
    <col min="15629" max="15629" width="4.42578125" customWidth="1"/>
    <col min="15630" max="15630" width="15.28515625" customWidth="1"/>
    <col min="15631" max="15631" width="15.7109375" customWidth="1"/>
    <col min="15632" max="15632" width="17.42578125" bestFit="1" customWidth="1"/>
    <col min="15633" max="15633" width="13.5703125" customWidth="1"/>
    <col min="15634" max="15636" width="11.42578125" customWidth="1"/>
    <col min="15873" max="15873" width="25.140625" customWidth="1"/>
    <col min="15874" max="15874" width="14.7109375" bestFit="1" customWidth="1"/>
    <col min="15875" max="15875" width="17.42578125" bestFit="1" customWidth="1"/>
    <col min="15876" max="15881" width="11.42578125" customWidth="1"/>
    <col min="15882" max="15882" width="6.42578125" customWidth="1"/>
    <col min="15883" max="15883" width="10.7109375" customWidth="1"/>
    <col min="15884" max="15884" width="16" customWidth="1"/>
    <col min="15885" max="15885" width="4.42578125" customWidth="1"/>
    <col min="15886" max="15886" width="15.28515625" customWidth="1"/>
    <col min="15887" max="15887" width="15.7109375" customWidth="1"/>
    <col min="15888" max="15888" width="17.42578125" bestFit="1" customWidth="1"/>
    <col min="15889" max="15889" width="13.5703125" customWidth="1"/>
    <col min="15890" max="15892" width="11.42578125" customWidth="1"/>
    <col min="16129" max="16129" width="25.140625" customWidth="1"/>
    <col min="16130" max="16130" width="14.7109375" bestFit="1" customWidth="1"/>
    <col min="16131" max="16131" width="17.42578125" bestFit="1" customWidth="1"/>
    <col min="16132" max="16137" width="11.42578125" customWidth="1"/>
    <col min="16138" max="16138" width="6.42578125" customWidth="1"/>
    <col min="16139" max="16139" width="10.7109375" customWidth="1"/>
    <col min="16140" max="16140" width="16" customWidth="1"/>
    <col min="16141" max="16141" width="4.42578125" customWidth="1"/>
    <col min="16142" max="16142" width="15.28515625" customWidth="1"/>
    <col min="16143" max="16143" width="15.7109375" customWidth="1"/>
    <col min="16144" max="16144" width="17.42578125" bestFit="1" customWidth="1"/>
    <col min="16145" max="16145" width="13.5703125" customWidth="1"/>
    <col min="16146" max="16148" width="11.42578125" customWidth="1"/>
  </cols>
  <sheetData>
    <row r="1" spans="1:26">
      <c r="C1" s="136"/>
      <c r="D1" s="178"/>
      <c r="I1" s="138"/>
      <c r="J1" s="138"/>
      <c r="K1" s="179"/>
      <c r="L1" s="180"/>
      <c r="M1" s="180"/>
      <c r="N1" s="136"/>
    </row>
    <row r="2" spans="1:26">
      <c r="C2" s="136"/>
      <c r="D2" s="178"/>
      <c r="I2" s="138"/>
      <c r="J2" s="138"/>
      <c r="K2" s="179"/>
      <c r="L2" s="180"/>
      <c r="M2" s="180"/>
      <c r="N2" s="136"/>
    </row>
    <row r="3" spans="1:26">
      <c r="A3" s="181"/>
      <c r="B3" s="181" t="s">
        <v>820</v>
      </c>
      <c r="C3" s="182"/>
      <c r="D3" s="183"/>
      <c r="E3" s="181"/>
      <c r="F3" s="181"/>
      <c r="G3" s="181"/>
      <c r="H3" s="181"/>
      <c r="I3" s="184"/>
      <c r="J3" s="184"/>
      <c r="K3" s="185"/>
      <c r="L3" s="186"/>
      <c r="M3" s="186"/>
      <c r="N3" s="182"/>
      <c r="O3" s="181"/>
      <c r="P3" s="181"/>
      <c r="Q3" s="181"/>
      <c r="R3" s="181"/>
      <c r="S3" s="181"/>
      <c r="T3" s="181"/>
    </row>
    <row r="4" spans="1:26">
      <c r="A4" s="28"/>
      <c r="B4" s="28"/>
      <c r="C4" s="134"/>
      <c r="D4" s="187"/>
      <c r="E4" s="28"/>
      <c r="F4" s="28"/>
      <c r="G4" s="28"/>
      <c r="H4" s="28"/>
      <c r="I4" s="133"/>
      <c r="J4" s="133"/>
      <c r="K4" s="179"/>
      <c r="L4" s="188"/>
      <c r="M4" s="188"/>
      <c r="N4" s="134"/>
      <c r="O4" s="28"/>
      <c r="P4" s="28"/>
      <c r="Q4" s="28"/>
      <c r="R4" s="28"/>
      <c r="S4" s="28"/>
      <c r="T4" s="28"/>
    </row>
    <row r="5" spans="1:26">
      <c r="A5" s="28"/>
      <c r="B5" s="28"/>
      <c r="C5" s="134"/>
      <c r="D5" s="187"/>
      <c r="E5" s="28" t="s">
        <v>613</v>
      </c>
      <c r="F5" s="899">
        <v>0.6</v>
      </c>
      <c r="G5" s="28"/>
      <c r="H5" s="28"/>
      <c r="I5" s="133"/>
      <c r="J5" s="133"/>
      <c r="K5" s="179"/>
      <c r="L5" s="188"/>
      <c r="M5" s="188"/>
      <c r="N5" s="134"/>
      <c r="O5" s="28"/>
      <c r="P5" s="28"/>
      <c r="Q5" s="28"/>
      <c r="R5" s="28"/>
      <c r="S5" s="28"/>
      <c r="T5" s="28"/>
    </row>
    <row r="6" spans="1:26">
      <c r="A6" s="28"/>
      <c r="B6" s="131" t="s">
        <v>766</v>
      </c>
      <c r="C6" s="132" t="s">
        <v>792</v>
      </c>
      <c r="D6" s="189" t="s">
        <v>768</v>
      </c>
      <c r="E6" s="169">
        <v>0.4</v>
      </c>
      <c r="F6" s="169"/>
      <c r="G6" s="169"/>
      <c r="H6" s="169"/>
      <c r="I6" s="170"/>
      <c r="J6" s="170"/>
      <c r="K6" s="190"/>
      <c r="L6" s="180"/>
      <c r="M6" s="188"/>
      <c r="N6" s="134"/>
      <c r="O6" s="28"/>
      <c r="P6" s="131"/>
      <c r="Q6" s="132"/>
      <c r="R6" s="189"/>
      <c r="S6" s="169"/>
      <c r="T6" s="169"/>
      <c r="U6" s="169"/>
      <c r="V6" s="169"/>
      <c r="W6" s="170"/>
      <c r="X6" s="170"/>
      <c r="Y6" s="190"/>
      <c r="Z6" s="180"/>
    </row>
    <row r="7" spans="1:26">
      <c r="A7" s="28"/>
      <c r="B7" s="11" t="s">
        <v>769</v>
      </c>
      <c r="C7" s="143" t="s">
        <v>770</v>
      </c>
      <c r="D7" s="174" t="s">
        <v>771</v>
      </c>
      <c r="E7" s="11" t="s">
        <v>613</v>
      </c>
      <c r="F7" s="11" t="s">
        <v>772</v>
      </c>
      <c r="G7" s="11" t="s">
        <v>773</v>
      </c>
      <c r="H7" s="11" t="s">
        <v>774</v>
      </c>
      <c r="I7" s="147" t="s">
        <v>771</v>
      </c>
      <c r="J7" s="147"/>
      <c r="K7" s="191" t="s">
        <v>775</v>
      </c>
      <c r="L7" s="180" t="s">
        <v>821</v>
      </c>
      <c r="M7" s="188"/>
      <c r="N7" s="134"/>
      <c r="O7" s="28"/>
      <c r="Q7" s="136"/>
      <c r="R7" s="178"/>
      <c r="W7" s="164"/>
      <c r="X7" s="164"/>
      <c r="Y7" s="179"/>
      <c r="Z7" s="180"/>
    </row>
    <row r="8" spans="1:26">
      <c r="A8" s="28" t="s">
        <v>822</v>
      </c>
      <c r="B8" s="11" t="s">
        <v>47</v>
      </c>
      <c r="C8" s="143">
        <v>10</v>
      </c>
      <c r="D8" s="174">
        <v>18.88</v>
      </c>
      <c r="E8" s="11">
        <f>E6</f>
        <v>0.4</v>
      </c>
      <c r="F8" s="11">
        <v>1.1000000000000001</v>
      </c>
      <c r="G8" s="11">
        <v>1.03</v>
      </c>
      <c r="H8" s="11">
        <v>1.01</v>
      </c>
      <c r="I8" s="192">
        <f>(((D8*E8)*F8)+H8)*G8</f>
        <v>9.5967160000000007</v>
      </c>
      <c r="J8" s="144"/>
      <c r="K8" s="191">
        <v>25</v>
      </c>
      <c r="L8" s="193">
        <f>I8+K8</f>
        <v>34.596716000000001</v>
      </c>
      <c r="M8" s="188"/>
      <c r="N8" s="134" t="s">
        <v>276</v>
      </c>
      <c r="O8" s="28"/>
      <c r="Q8" s="136"/>
      <c r="R8" s="178"/>
      <c r="W8" s="842"/>
      <c r="X8" s="133"/>
      <c r="Y8" s="179"/>
      <c r="Z8" s="193"/>
    </row>
    <row r="9" spans="1:26">
      <c r="A9" s="28" t="s">
        <v>823</v>
      </c>
      <c r="B9" s="11" t="s">
        <v>49</v>
      </c>
      <c r="C9" s="143">
        <v>15</v>
      </c>
      <c r="D9" s="174">
        <v>26.98</v>
      </c>
      <c r="E9" s="11">
        <f>E8</f>
        <v>0.4</v>
      </c>
      <c r="F9" s="11">
        <v>1.1000000000000001</v>
      </c>
      <c r="G9" s="11">
        <v>1.03</v>
      </c>
      <c r="H9" s="11">
        <v>1.01</v>
      </c>
      <c r="I9" s="192">
        <f t="shared" ref="I9:I21" si="0">(((D9*E9)*F9)+H9)*G9</f>
        <v>13.267636000000003</v>
      </c>
      <c r="J9" s="144"/>
      <c r="K9" s="191">
        <v>25</v>
      </c>
      <c r="L9" s="193">
        <f t="shared" ref="L9:L21" si="1">I9+K9</f>
        <v>38.267636000000003</v>
      </c>
      <c r="M9" s="188"/>
      <c r="N9" s="134" t="s">
        <v>276</v>
      </c>
      <c r="O9" s="28"/>
      <c r="Q9" s="136"/>
      <c r="R9" s="178"/>
      <c r="W9" s="842"/>
      <c r="X9" s="133"/>
      <c r="Y9" s="179"/>
      <c r="Z9" s="193"/>
    </row>
    <row r="10" spans="1:26">
      <c r="A10" s="28" t="s">
        <v>824</v>
      </c>
      <c r="B10" s="11" t="s">
        <v>51</v>
      </c>
      <c r="C10" s="143">
        <v>15</v>
      </c>
      <c r="D10" s="174">
        <v>31.26</v>
      </c>
      <c r="E10" s="11">
        <f t="shared" ref="E10:E26" si="2">E9</f>
        <v>0.4</v>
      </c>
      <c r="F10" s="11">
        <v>1.1000000000000001</v>
      </c>
      <c r="G10" s="11">
        <v>1.03</v>
      </c>
      <c r="H10" s="11">
        <v>1.4</v>
      </c>
      <c r="I10" s="192">
        <f t="shared" si="0"/>
        <v>15.609032000000003</v>
      </c>
      <c r="J10" s="144"/>
      <c r="K10" s="191">
        <v>25</v>
      </c>
      <c r="L10" s="193">
        <f t="shared" si="1"/>
        <v>40.609031999999999</v>
      </c>
      <c r="M10" s="188"/>
      <c r="N10" s="134" t="s">
        <v>276</v>
      </c>
      <c r="O10" s="28"/>
      <c r="Q10" s="136"/>
      <c r="R10" s="178"/>
      <c r="W10" s="842"/>
      <c r="X10" s="133"/>
      <c r="Y10" s="179"/>
      <c r="Z10" s="193"/>
    </row>
    <row r="11" spans="1:26">
      <c r="A11" s="28" t="s">
        <v>825</v>
      </c>
      <c r="B11" s="11" t="s">
        <v>53</v>
      </c>
      <c r="C11" s="143">
        <v>15</v>
      </c>
      <c r="D11" s="174">
        <v>35.270000000000003</v>
      </c>
      <c r="E11" s="11">
        <f t="shared" si="2"/>
        <v>0.4</v>
      </c>
      <c r="F11" s="11">
        <v>1.1000000000000001</v>
      </c>
      <c r="G11" s="11">
        <v>1.03</v>
      </c>
      <c r="H11" s="11">
        <v>1.4</v>
      </c>
      <c r="I11" s="192">
        <f t="shared" si="0"/>
        <v>17.426364000000007</v>
      </c>
      <c r="J11" s="144"/>
      <c r="K11" s="191">
        <v>25</v>
      </c>
      <c r="L11" s="193">
        <f t="shared" si="1"/>
        <v>42.426364000000007</v>
      </c>
      <c r="M11" s="188"/>
      <c r="N11" s="134" t="s">
        <v>276</v>
      </c>
      <c r="O11" s="28"/>
      <c r="Q11" s="136"/>
      <c r="R11" s="178"/>
      <c r="W11" s="842"/>
      <c r="X11" s="133"/>
      <c r="Y11" s="179"/>
      <c r="Z11" s="193"/>
    </row>
    <row r="12" spans="1:26">
      <c r="A12" s="28" t="s">
        <v>826</v>
      </c>
      <c r="B12" s="11" t="s">
        <v>55</v>
      </c>
      <c r="C12" s="143">
        <v>20</v>
      </c>
      <c r="D12" s="174">
        <v>66.25</v>
      </c>
      <c r="E12" s="11">
        <f t="shared" si="2"/>
        <v>0.4</v>
      </c>
      <c r="F12" s="11">
        <v>1.1000000000000001</v>
      </c>
      <c r="G12" s="11">
        <v>1.03</v>
      </c>
      <c r="H12" s="11">
        <v>1.69</v>
      </c>
      <c r="I12" s="192">
        <f t="shared" si="0"/>
        <v>31.765200000000004</v>
      </c>
      <c r="J12" s="144"/>
      <c r="K12" s="191">
        <v>25</v>
      </c>
      <c r="L12" s="193">
        <f t="shared" si="1"/>
        <v>56.765200000000007</v>
      </c>
      <c r="M12" s="188"/>
      <c r="N12" s="134" t="s">
        <v>276</v>
      </c>
      <c r="O12" s="28"/>
      <c r="Q12" s="136"/>
      <c r="R12" s="178"/>
      <c r="W12" s="842"/>
      <c r="X12" s="133"/>
      <c r="Y12" s="179"/>
      <c r="Z12" s="193"/>
    </row>
    <row r="13" spans="1:26">
      <c r="A13" s="28" t="s">
        <v>827</v>
      </c>
      <c r="B13" s="11" t="s">
        <v>57</v>
      </c>
      <c r="C13" s="143">
        <v>29</v>
      </c>
      <c r="D13" s="174">
        <v>117.23</v>
      </c>
      <c r="E13" s="11">
        <f t="shared" si="2"/>
        <v>0.4</v>
      </c>
      <c r="F13" s="11">
        <v>1.1499999999999999</v>
      </c>
      <c r="G13" s="11">
        <v>1.03</v>
      </c>
      <c r="H13" s="11">
        <v>2.0499999999999998</v>
      </c>
      <c r="I13" s="192">
        <f t="shared" si="0"/>
        <v>57.655073999999999</v>
      </c>
      <c r="J13" s="144"/>
      <c r="K13" s="191">
        <v>25</v>
      </c>
      <c r="L13" s="193">
        <f t="shared" si="1"/>
        <v>82.655073999999999</v>
      </c>
      <c r="M13" s="188"/>
      <c r="N13" s="134" t="s">
        <v>276</v>
      </c>
      <c r="O13" s="28"/>
      <c r="Q13" s="136"/>
      <c r="R13" s="178"/>
      <c r="W13" s="842"/>
      <c r="X13" s="133"/>
      <c r="Y13" s="179"/>
      <c r="Z13" s="193"/>
    </row>
    <row r="14" spans="1:26">
      <c r="A14" s="28" t="s">
        <v>828</v>
      </c>
      <c r="B14" s="11" t="s">
        <v>59</v>
      </c>
      <c r="C14" s="143">
        <v>39</v>
      </c>
      <c r="D14" s="174">
        <v>167.21</v>
      </c>
      <c r="E14" s="11">
        <f t="shared" si="2"/>
        <v>0.4</v>
      </c>
      <c r="F14" s="11">
        <v>1.1499999999999999</v>
      </c>
      <c r="G14" s="11">
        <v>1.03</v>
      </c>
      <c r="H14" s="11">
        <v>2.59</v>
      </c>
      <c r="I14" s="192">
        <f>(((D14*E14)*F14)+H14)*G14</f>
        <v>81.891797999999994</v>
      </c>
      <c r="J14" s="144"/>
      <c r="K14" s="191">
        <v>25</v>
      </c>
      <c r="L14" s="193">
        <f>I14+K14</f>
        <v>106.89179799999999</v>
      </c>
      <c r="M14" s="188"/>
      <c r="N14" s="134" t="s">
        <v>276</v>
      </c>
      <c r="O14" s="28"/>
      <c r="Q14" s="136"/>
      <c r="R14" s="178"/>
      <c r="W14" s="842"/>
      <c r="X14" s="133"/>
      <c r="Y14" s="179"/>
      <c r="Z14" s="193"/>
    </row>
    <row r="15" spans="1:26">
      <c r="A15" s="28" t="s">
        <v>829</v>
      </c>
      <c r="B15" s="11" t="s">
        <v>60</v>
      </c>
      <c r="C15" s="143">
        <v>40</v>
      </c>
      <c r="D15" s="174">
        <v>230.94</v>
      </c>
      <c r="E15" s="11">
        <f t="shared" si="2"/>
        <v>0.4</v>
      </c>
      <c r="F15" s="11">
        <v>1.1499999999999999</v>
      </c>
      <c r="G15" s="11">
        <v>1.03</v>
      </c>
      <c r="H15" s="11">
        <v>3.14</v>
      </c>
      <c r="I15" s="192">
        <f t="shared" si="0"/>
        <v>112.653572</v>
      </c>
      <c r="J15" s="144"/>
      <c r="K15" s="191">
        <v>30</v>
      </c>
      <c r="L15" s="193">
        <f t="shared" si="1"/>
        <v>142.653572</v>
      </c>
      <c r="M15" s="188"/>
      <c r="N15" s="134" t="s">
        <v>276</v>
      </c>
      <c r="O15" s="28"/>
      <c r="Q15" s="136"/>
      <c r="R15" s="178"/>
      <c r="W15" s="842"/>
      <c r="X15" s="133"/>
      <c r="Y15" s="179"/>
      <c r="Z15" s="193"/>
    </row>
    <row r="16" spans="1:26">
      <c r="A16" s="28" t="s">
        <v>830</v>
      </c>
      <c r="B16" s="11" t="s">
        <v>62</v>
      </c>
      <c r="C16" s="143">
        <v>50</v>
      </c>
      <c r="D16" s="174">
        <f>((114.3+2*50)/1000)*3.14*491.14</f>
        <v>330.48908828000003</v>
      </c>
      <c r="E16" s="11">
        <f t="shared" si="2"/>
        <v>0.4</v>
      </c>
      <c r="F16" s="11">
        <v>1.1499999999999999</v>
      </c>
      <c r="G16" s="11">
        <v>1.03</v>
      </c>
      <c r="H16" s="11">
        <v>3.86</v>
      </c>
      <c r="I16" s="192">
        <f t="shared" si="0"/>
        <v>160.56153002706404</v>
      </c>
      <c r="J16" s="144"/>
      <c r="K16" s="191">
        <v>30</v>
      </c>
      <c r="L16" s="193">
        <f t="shared" si="1"/>
        <v>190.56153002706404</v>
      </c>
      <c r="M16" s="188"/>
      <c r="N16" s="134" t="s">
        <v>276</v>
      </c>
      <c r="O16" s="28"/>
      <c r="Q16" s="136"/>
      <c r="R16" s="178"/>
      <c r="W16" s="842"/>
      <c r="X16" s="133"/>
      <c r="Y16" s="179"/>
      <c r="Z16" s="193"/>
    </row>
    <row r="17" spans="1:26">
      <c r="A17" s="28" t="s">
        <v>830</v>
      </c>
      <c r="B17" s="11" t="s">
        <v>63</v>
      </c>
      <c r="C17" s="143">
        <v>50</v>
      </c>
      <c r="D17" s="174">
        <f>((139.7+2*50)/1000)*3.14*491.14</f>
        <v>369.66045012000001</v>
      </c>
      <c r="E17" s="11">
        <f t="shared" si="2"/>
        <v>0.4</v>
      </c>
      <c r="F17" s="11">
        <v>1.1499999999999999</v>
      </c>
      <c r="G17" s="11">
        <v>1.03</v>
      </c>
      <c r="H17" s="11">
        <v>4.7699999999999996</v>
      </c>
      <c r="I17" s="192">
        <f t="shared" si="0"/>
        <v>180.05822126685601</v>
      </c>
      <c r="J17" s="144"/>
      <c r="K17" s="191">
        <v>35</v>
      </c>
      <c r="L17" s="193">
        <f t="shared" si="1"/>
        <v>215.05822126685601</v>
      </c>
      <c r="M17" s="188"/>
      <c r="N17" s="134" t="s">
        <v>276</v>
      </c>
      <c r="O17" s="28"/>
      <c r="Q17" s="136"/>
      <c r="R17" s="178"/>
      <c r="W17" s="842"/>
      <c r="X17" s="133"/>
      <c r="Y17" s="179"/>
      <c r="Z17" s="193"/>
    </row>
    <row r="18" spans="1:26">
      <c r="A18" s="28" t="s">
        <v>830</v>
      </c>
      <c r="B18" s="11" t="s">
        <v>66</v>
      </c>
      <c r="C18" s="143">
        <v>50</v>
      </c>
      <c r="D18" s="174">
        <f>((168.3+2*50)/1000)*3.14*491.14</f>
        <v>413.76678668000005</v>
      </c>
      <c r="E18" s="11">
        <f t="shared" si="2"/>
        <v>0.4</v>
      </c>
      <c r="F18" s="11">
        <v>1.1499999999999999</v>
      </c>
      <c r="G18" s="11">
        <v>1.03</v>
      </c>
      <c r="H18" s="11">
        <v>5.67</v>
      </c>
      <c r="I18" s="192">
        <f t="shared" si="0"/>
        <v>201.88280352898403</v>
      </c>
      <c r="J18" s="144"/>
      <c r="K18" s="191">
        <v>35</v>
      </c>
      <c r="L18" s="193">
        <f t="shared" si="1"/>
        <v>236.88280352898403</v>
      </c>
      <c r="M18" s="188"/>
      <c r="N18" s="134" t="s">
        <v>276</v>
      </c>
      <c r="O18" s="28"/>
      <c r="Q18" s="136"/>
      <c r="R18" s="178"/>
      <c r="W18" s="842"/>
      <c r="X18" s="133"/>
      <c r="Y18" s="179"/>
      <c r="Z18" s="193"/>
    </row>
    <row r="19" spans="1:26">
      <c r="A19" s="28" t="s">
        <v>830</v>
      </c>
      <c r="B19" s="11" t="s">
        <v>121</v>
      </c>
      <c r="C19" s="143">
        <v>50</v>
      </c>
      <c r="D19" s="174">
        <f>((219.1+2*50)/1000)*3.14*491.14</f>
        <v>492.10951036000006</v>
      </c>
      <c r="E19" s="11">
        <f t="shared" si="2"/>
        <v>0.4</v>
      </c>
      <c r="F19" s="11">
        <v>1.1499999999999999</v>
      </c>
      <c r="G19" s="11">
        <v>1.03</v>
      </c>
      <c r="H19" s="11">
        <v>5.67</v>
      </c>
      <c r="I19" s="192">
        <f t="shared" si="0"/>
        <v>239.00158600856804</v>
      </c>
      <c r="J19" s="144"/>
      <c r="K19" s="191">
        <f>((200+2*50)/1000)*3.14*43</f>
        <v>40.506</v>
      </c>
      <c r="L19" s="193">
        <f t="shared" si="1"/>
        <v>279.50758600856807</v>
      </c>
      <c r="M19" s="188"/>
      <c r="N19" s="134" t="s">
        <v>276</v>
      </c>
      <c r="O19" s="28"/>
      <c r="Q19" s="136"/>
      <c r="R19" s="178"/>
      <c r="W19" s="842"/>
      <c r="X19" s="133"/>
      <c r="Y19" s="179"/>
      <c r="Z19" s="193"/>
    </row>
    <row r="20" spans="1:26">
      <c r="A20" s="28" t="s">
        <v>830</v>
      </c>
      <c r="B20" s="11" t="s">
        <v>122</v>
      </c>
      <c r="C20" s="143">
        <v>50</v>
      </c>
      <c r="D20" s="174">
        <f>((273+2*50)/1000)*3.14*491.14</f>
        <v>575.23299080000004</v>
      </c>
      <c r="E20" s="11">
        <f t="shared" si="2"/>
        <v>0.4</v>
      </c>
      <c r="F20" s="11">
        <v>1.1499999999999999</v>
      </c>
      <c r="G20" s="11">
        <v>1.03</v>
      </c>
      <c r="H20" s="11">
        <v>5.67</v>
      </c>
      <c r="I20" s="192">
        <f t="shared" si="0"/>
        <v>278.38549104104004</v>
      </c>
      <c r="J20" s="144"/>
      <c r="K20" s="191">
        <f>((250+2*50)/1000)*3.14*43</f>
        <v>47.256999999999998</v>
      </c>
      <c r="L20" s="193">
        <f t="shared" si="1"/>
        <v>325.64249104104005</v>
      </c>
      <c r="M20" s="188"/>
      <c r="N20" s="134" t="s">
        <v>276</v>
      </c>
      <c r="O20" s="28"/>
      <c r="Q20" s="136"/>
      <c r="R20" s="178"/>
      <c r="W20" s="842"/>
      <c r="X20" s="133"/>
      <c r="Y20" s="179"/>
      <c r="Z20" s="193"/>
    </row>
    <row r="21" spans="1:26">
      <c r="A21" s="28" t="s">
        <v>830</v>
      </c>
      <c r="B21" s="11" t="s">
        <v>156</v>
      </c>
      <c r="C21" s="143">
        <v>50</v>
      </c>
      <c r="D21" s="174">
        <f>((323.9+2*50)/1000)*3.14*491.14</f>
        <v>653.72993243999997</v>
      </c>
      <c r="E21" s="11">
        <f t="shared" si="2"/>
        <v>0.4</v>
      </c>
      <c r="F21" s="11">
        <v>1.1499999999999999</v>
      </c>
      <c r="G21" s="11">
        <v>1.03</v>
      </c>
      <c r="H21" s="11">
        <v>5.67</v>
      </c>
      <c r="I21" s="192">
        <f t="shared" si="0"/>
        <v>315.577341990072</v>
      </c>
      <c r="J21" s="144"/>
      <c r="K21" s="191">
        <f>((300+2*50)/1000)*3.14*43</f>
        <v>54.00800000000001</v>
      </c>
      <c r="L21" s="193">
        <f t="shared" si="1"/>
        <v>369.58534199007204</v>
      </c>
      <c r="M21" s="188"/>
      <c r="N21" s="134" t="s">
        <v>276</v>
      </c>
      <c r="O21" s="28"/>
      <c r="Q21" s="136"/>
      <c r="R21" s="178"/>
      <c r="W21" s="842"/>
      <c r="X21" s="133"/>
      <c r="Y21" s="179"/>
      <c r="Z21" s="193"/>
    </row>
    <row r="22" spans="1:26">
      <c r="A22" s="28" t="s">
        <v>830</v>
      </c>
      <c r="B22" s="11" t="s">
        <v>158</v>
      </c>
      <c r="C22" s="143">
        <v>50</v>
      </c>
      <c r="D22" s="174">
        <f>((355.6+2*50)/1000)*3.14*491.14</f>
        <v>702.61702576000005</v>
      </c>
      <c r="E22" s="11">
        <f t="shared" si="2"/>
        <v>0.4</v>
      </c>
      <c r="F22" s="11">
        <v>1.1499999999999999</v>
      </c>
      <c r="G22" s="11">
        <v>1.03</v>
      </c>
      <c r="H22" s="11">
        <v>5.67</v>
      </c>
      <c r="I22" s="192">
        <f>(((D22*E22)*F22)+H22)*G22</f>
        <v>338.74004680508807</v>
      </c>
      <c r="J22" s="144"/>
      <c r="K22" s="195">
        <v>62</v>
      </c>
      <c r="L22" s="193">
        <f>I22+K22</f>
        <v>400.74004680508807</v>
      </c>
      <c r="M22" s="188"/>
      <c r="N22" s="134" t="s">
        <v>276</v>
      </c>
      <c r="O22" s="28"/>
      <c r="Q22" s="136"/>
      <c r="R22" s="178"/>
      <c r="W22" s="842"/>
      <c r="X22" s="133"/>
      <c r="Y22" s="179"/>
      <c r="Z22" s="193"/>
    </row>
    <row r="23" spans="1:26">
      <c r="A23" s="28" t="s">
        <v>830</v>
      </c>
      <c r="B23" s="11" t="s">
        <v>176</v>
      </c>
      <c r="C23" s="143">
        <v>50</v>
      </c>
      <c r="D23" s="174">
        <f>((406.4+2*50)/1000)*3.14*491.14</f>
        <v>780.95974944</v>
      </c>
      <c r="E23" s="11">
        <f t="shared" si="2"/>
        <v>0.4</v>
      </c>
      <c r="F23" s="11">
        <v>1.1499999999999999</v>
      </c>
      <c r="G23" s="11">
        <v>1.03</v>
      </c>
      <c r="H23" s="11">
        <v>7.67</v>
      </c>
      <c r="I23" s="192">
        <f>(((D23*E23)*F23)+H23)*G23</f>
        <v>377.91882928467203</v>
      </c>
      <c r="J23" s="144"/>
      <c r="K23" s="195">
        <f>((406.4+2*50)/1000)*3.14*43</f>
        <v>68.374127999999999</v>
      </c>
      <c r="L23" s="193">
        <f>I23+K23</f>
        <v>446.29295728467201</v>
      </c>
      <c r="M23" s="188"/>
      <c r="N23" s="134" t="s">
        <v>276</v>
      </c>
      <c r="O23" s="28"/>
      <c r="Q23" s="136"/>
      <c r="R23" s="178"/>
      <c r="W23" s="842"/>
      <c r="X23" s="133"/>
      <c r="Y23" s="179"/>
      <c r="Z23" s="193"/>
    </row>
    <row r="24" spans="1:26">
      <c r="A24" s="28" t="s">
        <v>830</v>
      </c>
      <c r="B24" s="11" t="s">
        <v>831</v>
      </c>
      <c r="C24" s="143">
        <v>50</v>
      </c>
      <c r="D24" s="174">
        <f>((455+2*50)/1000)*3.14*491.14</f>
        <v>855.9096780000001</v>
      </c>
      <c r="E24" s="11">
        <f t="shared" si="2"/>
        <v>0.4</v>
      </c>
      <c r="F24" s="11">
        <v>1.1499999999999999</v>
      </c>
      <c r="G24" s="11">
        <v>1.03</v>
      </c>
      <c r="H24" s="11">
        <v>7.67</v>
      </c>
      <c r="I24" s="192">
        <f>(((D24*E24)*F24)+H24)*G24</f>
        <v>413.43010543640008</v>
      </c>
      <c r="J24" s="144"/>
      <c r="K24" s="195">
        <f>((455+2*50)/1000)*3.14*43</f>
        <v>74.93610000000001</v>
      </c>
      <c r="L24" s="193">
        <f>I24+K24</f>
        <v>488.36620543640009</v>
      </c>
      <c r="M24" s="188"/>
      <c r="N24" s="134" t="s">
        <v>276</v>
      </c>
      <c r="O24" s="28"/>
      <c r="Q24" s="136"/>
      <c r="R24" s="178"/>
      <c r="W24" s="842"/>
      <c r="X24" s="133"/>
      <c r="Y24" s="179"/>
      <c r="Z24" s="193"/>
    </row>
    <row r="25" spans="1:26">
      <c r="A25" s="28" t="s">
        <v>830</v>
      </c>
      <c r="B25" s="11" t="s">
        <v>178</v>
      </c>
      <c r="C25" s="143">
        <v>50</v>
      </c>
      <c r="D25" s="174">
        <f>((508+2*50)/1000)*3.14*491.14</f>
        <v>937.64519679999989</v>
      </c>
      <c r="E25" s="11">
        <f t="shared" si="2"/>
        <v>0.4</v>
      </c>
      <c r="F25" s="11">
        <v>1.1499999999999999</v>
      </c>
      <c r="G25" s="11">
        <v>1.03</v>
      </c>
      <c r="H25" s="11">
        <v>10.67</v>
      </c>
      <c r="I25" s="192">
        <f>(((D25*E25)*F25)+H25)*G25</f>
        <v>455.24639424383997</v>
      </c>
      <c r="J25" s="144"/>
      <c r="K25" s="195">
        <f>((508+2*50)/1000)*3.14*43</f>
        <v>82.092159999999993</v>
      </c>
      <c r="L25" s="180"/>
      <c r="M25" s="188"/>
      <c r="N25" s="134" t="s">
        <v>276</v>
      </c>
      <c r="O25" s="28"/>
      <c r="Q25" s="136"/>
      <c r="R25" s="178"/>
      <c r="W25" s="842"/>
      <c r="X25" s="133"/>
      <c r="Y25" s="179"/>
      <c r="Z25" s="180"/>
    </row>
    <row r="26" spans="1:26">
      <c r="A26" s="28" t="s">
        <v>830</v>
      </c>
      <c r="B26" s="11" t="s">
        <v>190</v>
      </c>
      <c r="C26" s="143">
        <v>50</v>
      </c>
      <c r="D26" s="174">
        <f>((610+2*50)/1000)*3.14*491.14</f>
        <v>1094.947516</v>
      </c>
      <c r="E26" s="11">
        <f t="shared" si="2"/>
        <v>0.4</v>
      </c>
      <c r="F26" s="11">
        <v>1.1499999999999999</v>
      </c>
      <c r="G26" s="11">
        <v>1.03</v>
      </c>
      <c r="H26" s="11">
        <v>15.67</v>
      </c>
      <c r="I26" s="192">
        <f>(((D26*E26)*F26)+H26)*G26</f>
        <v>534.92623308079999</v>
      </c>
      <c r="J26" s="144"/>
      <c r="K26" s="195">
        <f>((610+2*50)/1000)*3.14*43</f>
        <v>95.864199999999997</v>
      </c>
      <c r="L26" s="180"/>
      <c r="M26" s="188"/>
      <c r="N26" s="134" t="s">
        <v>276</v>
      </c>
      <c r="O26" s="28"/>
      <c r="Q26" s="136"/>
      <c r="R26" s="178"/>
      <c r="W26" s="842"/>
      <c r="X26" s="133"/>
      <c r="Y26" s="179"/>
      <c r="Z26" s="180"/>
    </row>
    <row r="27" spans="1:26">
      <c r="A27" s="28"/>
      <c r="B27" s="28"/>
      <c r="C27" s="134"/>
      <c r="D27" s="187"/>
      <c r="E27" s="28"/>
      <c r="F27" s="28"/>
      <c r="G27" s="28"/>
      <c r="H27" s="28"/>
      <c r="I27" s="133"/>
      <c r="J27" s="133"/>
      <c r="K27" s="179"/>
      <c r="L27" s="188"/>
      <c r="M27" s="188"/>
      <c r="N27" s="134"/>
      <c r="O27" s="28"/>
      <c r="P27" s="28"/>
      <c r="Q27" s="28"/>
      <c r="R27" s="28"/>
      <c r="S27" s="28"/>
      <c r="T27" s="28"/>
    </row>
    <row r="28" spans="1:26">
      <c r="A28" s="28"/>
      <c r="B28" s="28"/>
      <c r="C28" s="134"/>
      <c r="D28" s="187"/>
      <c r="E28" s="28"/>
      <c r="F28" s="28"/>
      <c r="G28" s="28"/>
      <c r="H28" s="28"/>
      <c r="I28" s="133"/>
      <c r="J28" s="133"/>
      <c r="K28" s="179"/>
      <c r="L28" s="188"/>
      <c r="M28" s="188"/>
      <c r="N28" s="134"/>
      <c r="O28" s="28"/>
      <c r="P28" s="28"/>
      <c r="Q28" s="28"/>
      <c r="R28" s="28"/>
      <c r="S28" s="28"/>
      <c r="T28" s="28"/>
    </row>
    <row r="29" spans="1:26">
      <c r="A29" s="28"/>
      <c r="B29" s="28"/>
      <c r="C29" s="134"/>
      <c r="D29" s="187"/>
      <c r="E29" s="28"/>
      <c r="F29" s="28"/>
      <c r="G29" s="28"/>
      <c r="H29" s="28"/>
      <c r="I29" s="133"/>
      <c r="J29" s="133"/>
      <c r="K29" s="179"/>
      <c r="L29" s="188"/>
      <c r="M29" s="188"/>
      <c r="N29" s="134"/>
      <c r="O29" s="28"/>
      <c r="P29" s="28"/>
      <c r="Q29" s="28"/>
      <c r="R29" s="28"/>
      <c r="S29" s="28"/>
      <c r="T29" s="28"/>
    </row>
    <row r="30" spans="1:26">
      <c r="A30" s="28"/>
      <c r="B30" s="131" t="s">
        <v>766</v>
      </c>
      <c r="C30" s="132" t="s">
        <v>792</v>
      </c>
      <c r="D30" s="189" t="s">
        <v>768</v>
      </c>
      <c r="E30" s="169">
        <v>0.4</v>
      </c>
      <c r="F30" s="169"/>
      <c r="G30" s="169"/>
      <c r="H30" s="169"/>
      <c r="I30" s="170"/>
      <c r="J30" s="170"/>
      <c r="K30" s="190"/>
      <c r="L30" s="180"/>
      <c r="M30" s="188"/>
      <c r="N30" s="134"/>
      <c r="O30" s="28"/>
      <c r="P30" s="28"/>
      <c r="Q30" s="28"/>
      <c r="R30" s="28"/>
      <c r="S30" s="28"/>
      <c r="T30" s="28"/>
    </row>
    <row r="31" spans="1:26">
      <c r="A31" s="28"/>
      <c r="B31" s="11" t="s">
        <v>769</v>
      </c>
      <c r="C31" s="143" t="s">
        <v>770</v>
      </c>
      <c r="D31" s="174" t="s">
        <v>771</v>
      </c>
      <c r="E31" s="11">
        <f>E30</f>
        <v>0.4</v>
      </c>
      <c r="F31" s="11" t="s">
        <v>772</v>
      </c>
      <c r="G31" s="11" t="s">
        <v>773</v>
      </c>
      <c r="H31" s="11" t="s">
        <v>774</v>
      </c>
      <c r="I31" s="147" t="s">
        <v>771</v>
      </c>
      <c r="J31" s="147"/>
      <c r="K31" s="191" t="s">
        <v>775</v>
      </c>
      <c r="L31" s="180" t="s">
        <v>821</v>
      </c>
      <c r="M31" s="188"/>
      <c r="N31" s="134" t="s">
        <v>832</v>
      </c>
      <c r="O31" s="28"/>
      <c r="P31" s="28"/>
      <c r="Q31" s="28"/>
      <c r="R31" s="28"/>
      <c r="S31" s="28"/>
      <c r="T31" s="28"/>
    </row>
    <row r="32" spans="1:26">
      <c r="A32" s="28" t="s">
        <v>822</v>
      </c>
      <c r="B32" s="11"/>
      <c r="C32" s="143"/>
      <c r="D32" s="174"/>
      <c r="E32" s="11">
        <f>E30</f>
        <v>0.4</v>
      </c>
      <c r="F32" s="11"/>
      <c r="G32" s="11"/>
      <c r="H32" s="11"/>
      <c r="I32" s="192"/>
      <c r="J32" s="144"/>
      <c r="K32" s="191"/>
      <c r="L32" s="193">
        <f>I32+K32</f>
        <v>0</v>
      </c>
      <c r="M32" s="188"/>
      <c r="N32" s="134" t="s">
        <v>832</v>
      </c>
      <c r="O32" s="28"/>
      <c r="P32" s="28"/>
      <c r="Q32" s="28"/>
      <c r="R32" s="28"/>
      <c r="S32" s="28"/>
      <c r="T32" s="28"/>
    </row>
    <row r="33" spans="1:20">
      <c r="A33" s="28" t="s">
        <v>833</v>
      </c>
      <c r="B33" s="11" t="s">
        <v>47</v>
      </c>
      <c r="C33" s="194">
        <v>15</v>
      </c>
      <c r="D33" s="174">
        <v>24.31</v>
      </c>
      <c r="E33" s="11">
        <f t="shared" ref="E33:E57" si="3">E31</f>
        <v>0.4</v>
      </c>
      <c r="F33" s="11">
        <v>1.1000000000000001</v>
      </c>
      <c r="G33" s="11">
        <v>1.03</v>
      </c>
      <c r="H33" s="11">
        <v>1.01</v>
      </c>
      <c r="I33" s="144">
        <f>(((D33*E33)*F33)+H33)*G33</f>
        <v>12.057592000000001</v>
      </c>
      <c r="J33" s="144"/>
      <c r="K33" s="191">
        <v>25</v>
      </c>
      <c r="L33" s="193">
        <f>I33+K33</f>
        <v>37.057592</v>
      </c>
      <c r="M33" s="188"/>
      <c r="N33" s="134" t="s">
        <v>832</v>
      </c>
      <c r="O33" s="28"/>
      <c r="P33" s="28"/>
      <c r="Q33" s="28"/>
      <c r="R33" s="28"/>
      <c r="S33" s="28"/>
      <c r="T33" s="28"/>
    </row>
    <row r="34" spans="1:20">
      <c r="A34" s="28" t="s">
        <v>823</v>
      </c>
      <c r="B34" s="11"/>
      <c r="C34" s="143"/>
      <c r="D34" s="174"/>
      <c r="E34" s="11">
        <f t="shared" si="3"/>
        <v>0.4</v>
      </c>
      <c r="F34" s="11"/>
      <c r="G34" s="11"/>
      <c r="H34" s="11"/>
      <c r="I34" s="192"/>
      <c r="J34" s="144"/>
      <c r="K34" s="191"/>
      <c r="L34" s="193">
        <f t="shared" ref="L34" si="4">I34+K34</f>
        <v>0</v>
      </c>
      <c r="M34" s="188"/>
      <c r="N34" s="134" t="s">
        <v>832</v>
      </c>
      <c r="O34" s="28"/>
      <c r="P34" s="28"/>
      <c r="Q34" s="28"/>
      <c r="R34" s="28"/>
      <c r="S34" s="28"/>
      <c r="T34" s="28"/>
    </row>
    <row r="35" spans="1:20">
      <c r="A35" s="28" t="s">
        <v>834</v>
      </c>
      <c r="B35" s="11" t="s">
        <v>49</v>
      </c>
      <c r="C35" s="194">
        <v>19</v>
      </c>
      <c r="D35" s="174">
        <v>41.57</v>
      </c>
      <c r="E35" s="11">
        <f t="shared" si="3"/>
        <v>0.4</v>
      </c>
      <c r="F35" s="11">
        <v>1.1000000000000001</v>
      </c>
      <c r="G35" s="11">
        <v>1.03</v>
      </c>
      <c r="H35" s="11">
        <v>1.01</v>
      </c>
      <c r="I35" s="144">
        <f>(((D35*E35)*F35)+H35)*G35</f>
        <v>19.879824000000003</v>
      </c>
      <c r="J35" s="144"/>
      <c r="K35" s="191">
        <v>25</v>
      </c>
      <c r="L35" s="193">
        <f>I35+K35</f>
        <v>44.879823999999999</v>
      </c>
      <c r="M35" s="188"/>
      <c r="N35" s="134" t="s">
        <v>832</v>
      </c>
      <c r="O35" s="28"/>
      <c r="P35" s="28"/>
      <c r="Q35" s="28"/>
      <c r="R35" s="28"/>
      <c r="S35" s="28"/>
      <c r="T35" s="28"/>
    </row>
    <row r="36" spans="1:20">
      <c r="A36" s="28" t="s">
        <v>824</v>
      </c>
      <c r="B36" s="11"/>
      <c r="C36" s="143"/>
      <c r="D36" s="174"/>
      <c r="E36" s="11">
        <f t="shared" si="3"/>
        <v>0.4</v>
      </c>
      <c r="F36" s="11"/>
      <c r="G36" s="11"/>
      <c r="H36" s="11"/>
      <c r="I36" s="192"/>
      <c r="J36" s="144"/>
      <c r="K36" s="191"/>
      <c r="L36" s="193">
        <f t="shared" ref="L36" si="5">I36+K36</f>
        <v>0</v>
      </c>
      <c r="M36" s="188"/>
      <c r="N36" s="134" t="s">
        <v>832</v>
      </c>
      <c r="O36" s="28"/>
      <c r="P36" s="28"/>
      <c r="Q36" s="28"/>
      <c r="R36" s="28"/>
      <c r="S36" s="28"/>
      <c r="T36" s="28"/>
    </row>
    <row r="37" spans="1:20">
      <c r="A37" s="28" t="s">
        <v>835</v>
      </c>
      <c r="B37" s="11" t="s">
        <v>51</v>
      </c>
      <c r="C37" s="194">
        <v>19</v>
      </c>
      <c r="D37" s="174">
        <v>48.11</v>
      </c>
      <c r="E37" s="11">
        <f t="shared" si="3"/>
        <v>0.4</v>
      </c>
      <c r="F37" s="11">
        <v>1.1000000000000001</v>
      </c>
      <c r="G37" s="11">
        <v>1.03</v>
      </c>
      <c r="H37" s="11">
        <v>1.4</v>
      </c>
      <c r="I37" s="144">
        <f>(((D37*E37)*F37)+H37)*G37</f>
        <v>23.245452</v>
      </c>
      <c r="J37" s="144"/>
      <c r="K37" s="191">
        <v>25</v>
      </c>
      <c r="L37" s="193">
        <f>I37+K37</f>
        <v>48.245452</v>
      </c>
      <c r="M37" s="188"/>
      <c r="N37" s="134" t="s">
        <v>832</v>
      </c>
      <c r="O37" s="28"/>
      <c r="P37" s="28"/>
      <c r="Q37" s="28"/>
      <c r="R37" s="28"/>
      <c r="S37" s="28"/>
      <c r="T37" s="28"/>
    </row>
    <row r="38" spans="1:20">
      <c r="A38" s="28" t="s">
        <v>825</v>
      </c>
      <c r="B38" s="11"/>
      <c r="C38" s="143"/>
      <c r="D38" s="174"/>
      <c r="E38" s="11">
        <f t="shared" si="3"/>
        <v>0.4</v>
      </c>
      <c r="F38" s="11"/>
      <c r="G38" s="11"/>
      <c r="H38" s="11"/>
      <c r="I38" s="192"/>
      <c r="J38" s="144"/>
      <c r="K38" s="191"/>
      <c r="L38" s="193">
        <f t="shared" ref="L38" si="6">I38+K38</f>
        <v>0</v>
      </c>
      <c r="M38" s="188"/>
      <c r="N38" s="134" t="s">
        <v>832</v>
      </c>
      <c r="O38" s="28"/>
      <c r="P38" s="28"/>
      <c r="Q38" s="28"/>
      <c r="R38" s="28"/>
      <c r="S38" s="28"/>
      <c r="T38" s="28"/>
    </row>
    <row r="39" spans="1:20">
      <c r="A39" s="28" t="s">
        <v>836</v>
      </c>
      <c r="B39" s="11" t="s">
        <v>53</v>
      </c>
      <c r="C39" s="194">
        <v>19</v>
      </c>
      <c r="D39" s="174">
        <v>56.91</v>
      </c>
      <c r="E39" s="11">
        <f t="shared" si="3"/>
        <v>0.4</v>
      </c>
      <c r="F39" s="11">
        <v>1.1000000000000001</v>
      </c>
      <c r="G39" s="11">
        <v>1.03</v>
      </c>
      <c r="H39" s="11">
        <v>1.4</v>
      </c>
      <c r="I39" s="144">
        <f>(((D39*E39)*F39)+H39)*G39</f>
        <v>27.233612000000001</v>
      </c>
      <c r="J39" s="144"/>
      <c r="K39" s="191">
        <v>25</v>
      </c>
      <c r="L39" s="193">
        <f>I39+K39</f>
        <v>52.233612000000001</v>
      </c>
      <c r="M39" s="188"/>
      <c r="N39" s="134" t="s">
        <v>832</v>
      </c>
      <c r="O39" s="28"/>
      <c r="P39" s="28"/>
      <c r="Q39" s="28"/>
      <c r="R39" s="28"/>
      <c r="S39" s="28"/>
      <c r="T39" s="28"/>
    </row>
    <row r="40" spans="1:20">
      <c r="A40" s="28" t="s">
        <v>826</v>
      </c>
      <c r="B40" s="11"/>
      <c r="C40" s="143"/>
      <c r="D40" s="174"/>
      <c r="E40" s="11">
        <f t="shared" si="3"/>
        <v>0.4</v>
      </c>
      <c r="F40" s="11"/>
      <c r="G40" s="11"/>
      <c r="H40" s="11"/>
      <c r="I40" s="192"/>
      <c r="J40" s="144"/>
      <c r="K40" s="191"/>
      <c r="L40" s="193">
        <f t="shared" ref="L40:L42" si="7">I40+K40</f>
        <v>0</v>
      </c>
      <c r="M40" s="188"/>
      <c r="N40" s="134" t="s">
        <v>832</v>
      </c>
      <c r="O40" s="28"/>
      <c r="P40" s="28"/>
      <c r="Q40" s="28"/>
      <c r="R40" s="28"/>
      <c r="S40" s="28"/>
      <c r="T40" s="28"/>
    </row>
    <row r="41" spans="1:20">
      <c r="A41" s="28" t="s">
        <v>827</v>
      </c>
      <c r="B41" s="11"/>
      <c r="C41" s="143"/>
      <c r="D41" s="174"/>
      <c r="E41" s="11">
        <f t="shared" si="3"/>
        <v>0.4</v>
      </c>
      <c r="F41" s="11"/>
      <c r="G41" s="11"/>
      <c r="H41" s="11"/>
      <c r="I41" s="192"/>
      <c r="J41" s="144"/>
      <c r="K41" s="191"/>
      <c r="L41" s="193">
        <f t="shared" si="7"/>
        <v>0</v>
      </c>
      <c r="M41" s="188"/>
      <c r="N41" s="134" t="s">
        <v>832</v>
      </c>
      <c r="O41" s="28"/>
      <c r="P41" s="28"/>
      <c r="Q41" s="28"/>
      <c r="R41" s="28"/>
      <c r="S41" s="28"/>
      <c r="T41" s="28"/>
    </row>
    <row r="42" spans="1:20">
      <c r="A42" s="28" t="s">
        <v>837</v>
      </c>
      <c r="B42" s="11" t="s">
        <v>59</v>
      </c>
      <c r="C42" s="194">
        <v>30</v>
      </c>
      <c r="D42" s="174">
        <v>153.69999999999999</v>
      </c>
      <c r="E42" s="11">
        <f t="shared" si="3"/>
        <v>0.4</v>
      </c>
      <c r="F42" s="11">
        <v>1.1499999999999999</v>
      </c>
      <c r="G42" s="11">
        <v>1.03</v>
      </c>
      <c r="H42" s="11">
        <v>2.59</v>
      </c>
      <c r="I42" s="144">
        <f t="shared" ref="I42" si="8">(((D42*E42)*F42)+H42)*G42</f>
        <v>75.490759999999995</v>
      </c>
      <c r="J42" s="144"/>
      <c r="K42" s="191">
        <v>25</v>
      </c>
      <c r="L42" s="193">
        <f t="shared" si="7"/>
        <v>100.49075999999999</v>
      </c>
      <c r="M42" s="188"/>
      <c r="N42" s="134" t="s">
        <v>832</v>
      </c>
      <c r="O42" s="28"/>
      <c r="P42" s="28"/>
      <c r="Q42" s="28"/>
      <c r="R42" s="28"/>
      <c r="S42" s="28"/>
      <c r="T42" s="28"/>
    </row>
    <row r="43" spans="1:20">
      <c r="A43" s="28" t="s">
        <v>828</v>
      </c>
      <c r="B43" s="11"/>
      <c r="C43" s="143"/>
      <c r="D43" s="174"/>
      <c r="E43" s="11">
        <f t="shared" si="3"/>
        <v>0.4</v>
      </c>
      <c r="F43" s="11"/>
      <c r="G43" s="11"/>
      <c r="H43" s="11"/>
      <c r="I43" s="192"/>
      <c r="J43" s="144"/>
      <c r="K43" s="191"/>
      <c r="L43" s="193">
        <f>I43+K43</f>
        <v>0</v>
      </c>
      <c r="M43" s="188"/>
      <c r="N43" s="134" t="s">
        <v>832</v>
      </c>
      <c r="O43" s="28"/>
      <c r="P43" s="28"/>
      <c r="Q43" s="28"/>
      <c r="R43" s="28"/>
      <c r="S43" s="28"/>
      <c r="T43" s="28"/>
    </row>
    <row r="44" spans="1:20">
      <c r="A44" s="28" t="s">
        <v>838</v>
      </c>
      <c r="B44" s="11" t="s">
        <v>60</v>
      </c>
      <c r="C44" s="194">
        <v>22.5</v>
      </c>
      <c r="D44" s="174">
        <v>118.77</v>
      </c>
      <c r="E44" s="11">
        <f t="shared" si="3"/>
        <v>0.4</v>
      </c>
      <c r="F44" s="11">
        <v>1.1499999999999999</v>
      </c>
      <c r="G44" s="11">
        <v>1.03</v>
      </c>
      <c r="H44" s="11">
        <v>3.14</v>
      </c>
      <c r="I44" s="144">
        <f>(((D44*E44)*F44)+H44)*G44</f>
        <v>59.507426000000002</v>
      </c>
      <c r="J44" s="144"/>
      <c r="K44" s="191">
        <v>30</v>
      </c>
      <c r="L44" s="193">
        <f>I44+K44</f>
        <v>89.507426000000009</v>
      </c>
      <c r="M44" s="188"/>
      <c r="N44" s="134" t="s">
        <v>832</v>
      </c>
      <c r="O44" s="28"/>
      <c r="P44" s="28"/>
      <c r="Q44" s="28"/>
      <c r="R44" s="28"/>
      <c r="S44" s="28"/>
      <c r="T44" s="28"/>
    </row>
    <row r="45" spans="1:20">
      <c r="A45" s="28" t="s">
        <v>829</v>
      </c>
      <c r="B45" s="11"/>
      <c r="C45" s="143"/>
      <c r="D45" s="174"/>
      <c r="E45" s="11">
        <f t="shared" si="3"/>
        <v>0.4</v>
      </c>
      <c r="F45" s="11"/>
      <c r="G45" s="11"/>
      <c r="H45" s="11"/>
      <c r="I45" s="192"/>
      <c r="J45" s="144"/>
      <c r="K45" s="191"/>
      <c r="L45" s="193">
        <f t="shared" ref="L45" si="9">I45+K45</f>
        <v>0</v>
      </c>
      <c r="M45" s="188"/>
      <c r="N45" s="134" t="s">
        <v>832</v>
      </c>
      <c r="O45" s="28"/>
      <c r="P45" s="28"/>
      <c r="Q45" s="28"/>
      <c r="R45" s="28"/>
      <c r="S45" s="28"/>
      <c r="T45" s="28"/>
    </row>
    <row r="46" spans="1:20">
      <c r="A46" s="28" t="s">
        <v>839</v>
      </c>
      <c r="B46" s="11" t="s">
        <v>62</v>
      </c>
      <c r="C46" s="194">
        <v>32</v>
      </c>
      <c r="D46" s="174">
        <f>((114.3+2*32)/1000)*3.14*300.83</f>
        <v>168.42328546000002</v>
      </c>
      <c r="E46" s="11">
        <f t="shared" si="3"/>
        <v>0.4</v>
      </c>
      <c r="F46" s="11">
        <v>1.1499999999999999</v>
      </c>
      <c r="G46" s="11">
        <v>1.03</v>
      </c>
      <c r="H46" s="11">
        <v>3.86</v>
      </c>
      <c r="I46" s="144">
        <f>(((D46*E46)*F46)+H46)*G46</f>
        <v>83.774752650948002</v>
      </c>
      <c r="J46" s="144"/>
      <c r="K46" s="191">
        <v>30</v>
      </c>
      <c r="L46" s="193">
        <f>I46+K46</f>
        <v>113.774752650948</v>
      </c>
      <c r="M46" s="188"/>
      <c r="N46" s="134" t="s">
        <v>832</v>
      </c>
      <c r="O46" s="28"/>
      <c r="P46" s="28"/>
      <c r="Q46" s="28"/>
      <c r="R46" s="28"/>
      <c r="S46" s="28"/>
      <c r="T46" s="28"/>
    </row>
    <row r="47" spans="1:20">
      <c r="A47" s="28" t="s">
        <v>830</v>
      </c>
      <c r="B47" s="11"/>
      <c r="C47" s="143"/>
      <c r="D47" s="174"/>
      <c r="E47" s="11">
        <f t="shared" si="3"/>
        <v>0.4</v>
      </c>
      <c r="F47" s="11"/>
      <c r="G47" s="11"/>
      <c r="H47" s="11"/>
      <c r="I47" s="192"/>
      <c r="J47" s="144"/>
      <c r="K47" s="191"/>
      <c r="L47" s="193">
        <f t="shared" ref="L47" si="10">I47+K47</f>
        <v>0</v>
      </c>
      <c r="M47" s="188"/>
      <c r="N47" s="134" t="s">
        <v>832</v>
      </c>
      <c r="O47" s="28"/>
      <c r="P47" s="28"/>
      <c r="Q47" s="28"/>
      <c r="R47" s="28"/>
      <c r="S47" s="28"/>
      <c r="T47" s="28"/>
    </row>
    <row r="48" spans="1:20">
      <c r="A48" s="28" t="s">
        <v>839</v>
      </c>
      <c r="B48" s="11" t="s">
        <v>63</v>
      </c>
      <c r="C48" s="194">
        <v>32</v>
      </c>
      <c r="D48" s="174">
        <f>((139.7+2*32)/1000)*3.14*300.83</f>
        <v>192.41628294</v>
      </c>
      <c r="E48" s="11">
        <f t="shared" si="3"/>
        <v>0.4</v>
      </c>
      <c r="F48" s="11">
        <v>1.1499999999999999</v>
      </c>
      <c r="G48" s="11">
        <v>1.03</v>
      </c>
      <c r="H48" s="11">
        <v>4.7699999999999996</v>
      </c>
      <c r="I48" s="144">
        <f>(((D48*E48)*F48)+H48)*G48</f>
        <v>96.079934856972002</v>
      </c>
      <c r="J48" s="144"/>
      <c r="K48" s="191">
        <v>30</v>
      </c>
      <c r="L48" s="193">
        <f>I48+K48</f>
        <v>126.079934856972</v>
      </c>
      <c r="M48" s="188"/>
      <c r="N48" s="134" t="s">
        <v>832</v>
      </c>
      <c r="O48" s="28"/>
      <c r="P48" s="28"/>
      <c r="Q48" s="28"/>
      <c r="R48" s="28"/>
      <c r="S48" s="28"/>
      <c r="T48" s="28"/>
    </row>
    <row r="49" spans="1:20">
      <c r="A49" s="28" t="s">
        <v>830</v>
      </c>
      <c r="B49" s="11"/>
      <c r="C49" s="143"/>
      <c r="D49" s="174"/>
      <c r="E49" s="11">
        <f t="shared" si="3"/>
        <v>0.4</v>
      </c>
      <c r="F49" s="11"/>
      <c r="G49" s="11"/>
      <c r="H49" s="11"/>
      <c r="I49" s="192"/>
      <c r="J49" s="144"/>
      <c r="K49" s="191"/>
      <c r="L49" s="193">
        <f t="shared" ref="L49" si="11">I49+K49</f>
        <v>0</v>
      </c>
      <c r="M49" s="188"/>
      <c r="N49" s="134" t="s">
        <v>832</v>
      </c>
      <c r="O49" s="28"/>
      <c r="P49" s="28"/>
      <c r="Q49" s="28"/>
      <c r="R49" s="28"/>
      <c r="S49" s="28"/>
      <c r="T49" s="28"/>
    </row>
    <row r="50" spans="1:20">
      <c r="A50" s="28" t="s">
        <v>840</v>
      </c>
      <c r="B50" s="11" t="s">
        <v>63</v>
      </c>
      <c r="C50" s="194">
        <v>70</v>
      </c>
      <c r="D50" s="174">
        <f>((139.7+2*50)/1000)*3.14*491.14+((139.7+2*70)/1000)*3.14*193.43</f>
        <v>539.54189506</v>
      </c>
      <c r="E50" s="11">
        <f t="shared" si="3"/>
        <v>0.4</v>
      </c>
      <c r="F50" s="11">
        <v>1.1499999999999999</v>
      </c>
      <c r="G50" s="11">
        <v>1.03</v>
      </c>
      <c r="H50" s="11">
        <v>4.7699999999999996</v>
      </c>
      <c r="I50" s="144">
        <f>(((D50*E50)*F50)+H50)*G50</f>
        <v>260.54804987942805</v>
      </c>
      <c r="J50" s="144"/>
      <c r="K50" s="191">
        <f>35+((133+2*70)/1000)*3.14*43</f>
        <v>71.860460000000003</v>
      </c>
      <c r="L50" s="193">
        <f>I50+K50</f>
        <v>332.40850987942804</v>
      </c>
      <c r="M50" s="188"/>
      <c r="N50" s="134" t="s">
        <v>832</v>
      </c>
      <c r="O50" s="28"/>
      <c r="P50" s="28"/>
      <c r="Q50" s="28"/>
      <c r="R50" s="28"/>
      <c r="S50" s="28"/>
      <c r="T50" s="28"/>
    </row>
    <row r="51" spans="1:20">
      <c r="A51" s="28" t="s">
        <v>839</v>
      </c>
      <c r="B51" s="11" t="s">
        <v>66</v>
      </c>
      <c r="C51" s="194">
        <v>32</v>
      </c>
      <c r="D51" s="174">
        <f>((168.3+2*32)/1000)*3.14*300.83</f>
        <v>219.43202026</v>
      </c>
      <c r="E51" s="11">
        <f t="shared" si="3"/>
        <v>0.4</v>
      </c>
      <c r="F51" s="11">
        <v>1.1499999999999999</v>
      </c>
      <c r="G51" s="11">
        <v>1.03</v>
      </c>
      <c r="H51" s="11">
        <v>5.67</v>
      </c>
      <c r="I51" s="144">
        <f>(((D51*E51)*F51)+H51)*G51</f>
        <v>109.806991199188</v>
      </c>
      <c r="J51" s="144"/>
      <c r="K51" s="191">
        <v>35</v>
      </c>
      <c r="L51" s="193">
        <f>I51+K51</f>
        <v>144.80699119918802</v>
      </c>
      <c r="M51" s="188"/>
      <c r="N51" s="134" t="s">
        <v>832</v>
      </c>
      <c r="O51" s="28"/>
      <c r="P51" s="28"/>
      <c r="Q51" s="28"/>
      <c r="R51" s="28"/>
      <c r="S51" s="28"/>
      <c r="T51" s="28"/>
    </row>
    <row r="52" spans="1:20">
      <c r="A52" s="28" t="s">
        <v>830</v>
      </c>
      <c r="B52" s="11"/>
      <c r="C52" s="143"/>
      <c r="D52" s="174"/>
      <c r="E52" s="11">
        <f t="shared" si="3"/>
        <v>0.4</v>
      </c>
      <c r="F52" s="11"/>
      <c r="G52" s="11"/>
      <c r="H52" s="11"/>
      <c r="I52" s="192"/>
      <c r="J52" s="144"/>
      <c r="K52" s="191"/>
      <c r="L52" s="193">
        <f t="shared" ref="L52" si="12">I52+K52</f>
        <v>0</v>
      </c>
      <c r="M52" s="188"/>
      <c r="N52" s="134" t="s">
        <v>832</v>
      </c>
      <c r="O52" s="28"/>
      <c r="P52" s="28"/>
      <c r="Q52" s="28"/>
      <c r="R52" s="28"/>
      <c r="S52" s="28"/>
      <c r="T52" s="28"/>
    </row>
    <row r="53" spans="1:20">
      <c r="A53" s="28" t="s">
        <v>841</v>
      </c>
      <c r="B53" s="11" t="s">
        <v>66</v>
      </c>
      <c r="C53" s="194">
        <v>75</v>
      </c>
      <c r="D53" s="174">
        <f>((168.3+2*50)/1000)*3.14*491.14+((168.3+2*75)/1000)*3.14*238.96</f>
        <v>652.59822620000011</v>
      </c>
      <c r="E53" s="11">
        <f t="shared" si="3"/>
        <v>0.4</v>
      </c>
      <c r="F53" s="11">
        <v>1.1499999999999999</v>
      </c>
      <c r="G53" s="11">
        <v>1.03</v>
      </c>
      <c r="H53" s="11">
        <v>5.67</v>
      </c>
      <c r="I53" s="144">
        <f>(((D53*E53)*F53)+H53)*G53</f>
        <v>315.04113957356003</v>
      </c>
      <c r="J53" s="144"/>
      <c r="K53" s="191">
        <f>35+((160+2*75)/1000)*3.14*43</f>
        <v>76.856200000000001</v>
      </c>
      <c r="L53" s="193">
        <f>I53+K53</f>
        <v>391.89733957356003</v>
      </c>
      <c r="M53" s="188"/>
      <c r="N53" s="134" t="s">
        <v>832</v>
      </c>
      <c r="O53" s="28"/>
      <c r="P53" s="28"/>
      <c r="Q53" s="28"/>
      <c r="R53" s="28"/>
      <c r="S53" s="28"/>
      <c r="T53" s="28"/>
    </row>
    <row r="54" spans="1:20">
      <c r="A54" s="28" t="s">
        <v>839</v>
      </c>
      <c r="B54" s="11" t="s">
        <v>121</v>
      </c>
      <c r="C54" s="194">
        <v>32</v>
      </c>
      <c r="D54" s="174">
        <f>((219.1+2*32)/1000)*3.14*300.83</f>
        <v>267.41801522000003</v>
      </c>
      <c r="E54" s="11">
        <f t="shared" si="3"/>
        <v>0.4</v>
      </c>
      <c r="F54" s="11">
        <v>1.1499999999999999</v>
      </c>
      <c r="G54" s="11">
        <v>1.03</v>
      </c>
      <c r="H54" s="11">
        <v>5.67</v>
      </c>
      <c r="I54" s="144">
        <f>(((D54*E54)*F54)+H54)*G54</f>
        <v>132.542755611236</v>
      </c>
      <c r="J54" s="144"/>
      <c r="K54" s="191">
        <f>((200+2*50)/1000)*3.14*43</f>
        <v>40.506</v>
      </c>
      <c r="L54" s="193">
        <f>I54+K54</f>
        <v>173.048755611236</v>
      </c>
      <c r="M54" s="188"/>
      <c r="N54" s="134" t="s">
        <v>832</v>
      </c>
      <c r="O54" s="28"/>
      <c r="P54" s="28"/>
      <c r="Q54" s="28"/>
      <c r="R54" s="28"/>
      <c r="S54" s="28"/>
      <c r="T54" s="28"/>
    </row>
    <row r="55" spans="1:20">
      <c r="A55" s="28" t="s">
        <v>830</v>
      </c>
      <c r="B55" s="11"/>
      <c r="C55" s="143"/>
      <c r="D55" s="174"/>
      <c r="E55" s="11">
        <f t="shared" si="3"/>
        <v>0.4</v>
      </c>
      <c r="F55" s="11"/>
      <c r="G55" s="11"/>
      <c r="H55" s="11"/>
      <c r="I55" s="192"/>
      <c r="J55" s="144"/>
      <c r="K55" s="191"/>
      <c r="L55" s="193">
        <f t="shared" ref="L55" si="13">I55+K55</f>
        <v>0</v>
      </c>
      <c r="M55" s="188"/>
      <c r="N55" s="134" t="s">
        <v>832</v>
      </c>
      <c r="O55" s="28"/>
      <c r="P55" s="28"/>
      <c r="Q55" s="28"/>
      <c r="R55" s="28"/>
      <c r="S55" s="28"/>
      <c r="T55" s="28"/>
    </row>
    <row r="56" spans="1:20">
      <c r="A56" s="28" t="s">
        <v>839</v>
      </c>
      <c r="B56" s="11" t="s">
        <v>122</v>
      </c>
      <c r="C56" s="194">
        <v>32</v>
      </c>
      <c r="D56" s="174">
        <f>((273+2*32)/1000)*3.14*300.83</f>
        <v>318.33228940000004</v>
      </c>
      <c r="E56" s="11">
        <f t="shared" si="3"/>
        <v>0.4</v>
      </c>
      <c r="F56" s="11">
        <v>1.1499999999999999</v>
      </c>
      <c r="G56" s="11">
        <v>1.03</v>
      </c>
      <c r="H56" s="11">
        <v>5.67</v>
      </c>
      <c r="I56" s="144">
        <f>(((D56*E56)*F56)+H56)*G56</f>
        <v>156.66593871772002</v>
      </c>
      <c r="J56" s="144"/>
      <c r="K56" s="191">
        <f>((250+2*50)/1000)*3.14*43</f>
        <v>47.256999999999998</v>
      </c>
      <c r="L56" s="193">
        <f>I56+K56</f>
        <v>203.92293871772003</v>
      </c>
      <c r="M56" s="188"/>
      <c r="N56" s="134" t="s">
        <v>832</v>
      </c>
      <c r="O56" s="28"/>
      <c r="P56" s="28"/>
      <c r="Q56" s="28"/>
      <c r="R56" s="28"/>
      <c r="S56" s="28"/>
      <c r="T56" s="28"/>
    </row>
    <row r="57" spans="1:20">
      <c r="A57" s="28" t="s">
        <v>830</v>
      </c>
      <c r="B57" s="11"/>
      <c r="C57" s="143"/>
      <c r="D57" s="174"/>
      <c r="E57" s="11">
        <f t="shared" si="3"/>
        <v>0.4</v>
      </c>
      <c r="F57" s="11"/>
      <c r="G57" s="11"/>
      <c r="H57" s="11"/>
      <c r="I57" s="192"/>
      <c r="J57" s="144"/>
      <c r="K57" s="191"/>
      <c r="L57" s="193">
        <f t="shared" ref="L57" si="14">I57+K57</f>
        <v>0</v>
      </c>
      <c r="M57" s="188"/>
      <c r="N57" s="134" t="s">
        <v>832</v>
      </c>
      <c r="O57" s="28"/>
      <c r="P57" s="28"/>
      <c r="Q57" s="28"/>
      <c r="R57" s="28"/>
      <c r="S57" s="28"/>
      <c r="T57" s="28"/>
    </row>
    <row r="58" spans="1:20">
      <c r="A58" s="28"/>
      <c r="B58" s="28"/>
      <c r="C58" s="134"/>
      <c r="D58" s="187"/>
      <c r="E58" s="28"/>
      <c r="F58" s="28"/>
      <c r="G58" s="28"/>
      <c r="H58" s="28"/>
      <c r="I58" s="133"/>
      <c r="J58" s="133"/>
      <c r="K58" s="179"/>
      <c r="L58" s="188"/>
      <c r="M58" s="188"/>
      <c r="N58" s="134"/>
      <c r="O58" s="28"/>
      <c r="P58" s="28"/>
      <c r="Q58" s="28"/>
      <c r="R58" s="28"/>
      <c r="S58" s="28"/>
      <c r="T58" s="28"/>
    </row>
    <row r="59" spans="1:20">
      <c r="A59" s="28"/>
      <c r="B59" s="28"/>
      <c r="C59" s="134"/>
      <c r="D59" s="187"/>
      <c r="E59" s="28"/>
      <c r="F59" s="28"/>
      <c r="G59" s="28"/>
      <c r="H59" s="28"/>
      <c r="I59" s="133"/>
      <c r="J59" s="133"/>
      <c r="K59" s="179"/>
      <c r="L59" s="188"/>
      <c r="M59" s="188"/>
      <c r="N59" s="134"/>
      <c r="O59" s="28"/>
      <c r="P59" s="28"/>
      <c r="Q59" s="28"/>
      <c r="R59" s="28"/>
      <c r="S59" s="28"/>
      <c r="T59" s="28"/>
    </row>
    <row r="60" spans="1:20">
      <c r="A60" s="28"/>
      <c r="B60" s="28"/>
      <c r="C60" s="134"/>
      <c r="D60" s="187"/>
      <c r="E60" s="28"/>
      <c r="F60" s="28"/>
      <c r="G60" s="28"/>
      <c r="H60" s="28"/>
      <c r="I60" s="133"/>
      <c r="J60" s="133"/>
      <c r="K60" s="179"/>
      <c r="L60" s="188"/>
      <c r="M60" s="188"/>
      <c r="N60" s="134"/>
      <c r="O60" s="28"/>
      <c r="P60" s="28"/>
      <c r="Q60" s="28"/>
      <c r="R60" s="28"/>
      <c r="S60" s="28"/>
      <c r="T60" s="28"/>
    </row>
    <row r="61" spans="1:20">
      <c r="A61" s="28"/>
      <c r="B61" s="28"/>
      <c r="C61" s="134"/>
      <c r="D61" s="187"/>
      <c r="E61" s="28"/>
      <c r="F61" s="28"/>
      <c r="G61" s="28"/>
      <c r="H61" s="28"/>
      <c r="I61" s="133"/>
      <c r="J61" s="133"/>
      <c r="K61" s="179"/>
      <c r="L61" s="188"/>
      <c r="M61" s="188"/>
      <c r="N61" s="134"/>
      <c r="O61" s="28"/>
      <c r="P61" s="28"/>
      <c r="Q61" s="28"/>
      <c r="R61" s="28"/>
      <c r="S61" s="28"/>
      <c r="T61" s="28"/>
    </row>
    <row r="62" spans="1:20">
      <c r="A62" s="28"/>
      <c r="B62" s="131" t="s">
        <v>766</v>
      </c>
      <c r="C62" s="132" t="s">
        <v>792</v>
      </c>
      <c r="D62" s="189" t="s">
        <v>768</v>
      </c>
      <c r="E62" s="132" t="s">
        <v>842</v>
      </c>
      <c r="F62" s="169"/>
      <c r="G62" s="169"/>
      <c r="H62" s="169"/>
      <c r="I62" s="196"/>
      <c r="J62" s="196"/>
      <c r="K62" s="190"/>
      <c r="L62" s="188"/>
      <c r="M62" s="188"/>
      <c r="N62" s="134"/>
      <c r="O62" s="28"/>
      <c r="P62" s="28"/>
      <c r="Q62" s="28"/>
      <c r="R62" s="28"/>
      <c r="S62" s="28"/>
      <c r="T62" s="28"/>
    </row>
    <row r="63" spans="1:20">
      <c r="A63" s="28" t="s">
        <v>843</v>
      </c>
      <c r="B63" s="11" t="s">
        <v>47</v>
      </c>
      <c r="C63" s="143">
        <v>20</v>
      </c>
      <c r="D63" s="174">
        <v>31.32</v>
      </c>
      <c r="E63" s="11">
        <v>0.4</v>
      </c>
      <c r="F63" s="11">
        <v>1.1000000000000001</v>
      </c>
      <c r="G63" s="11">
        <v>1.03</v>
      </c>
      <c r="H63" s="11">
        <v>1.01</v>
      </c>
      <c r="I63" s="144">
        <f>(((D63*E63)*F63)+H63)*G63</f>
        <v>15.234524</v>
      </c>
      <c r="J63" s="144"/>
      <c r="K63" s="191">
        <v>25</v>
      </c>
      <c r="L63" s="188"/>
      <c r="M63" s="188"/>
      <c r="N63" s="134"/>
      <c r="O63" s="28"/>
      <c r="P63" s="28"/>
      <c r="Q63" s="28"/>
      <c r="R63" s="28"/>
      <c r="S63" s="28"/>
      <c r="T63" s="28"/>
    </row>
    <row r="64" spans="1:20">
      <c r="A64" s="28" t="s">
        <v>844</v>
      </c>
      <c r="B64" s="11" t="s">
        <v>49</v>
      </c>
      <c r="C64" s="143">
        <v>30</v>
      </c>
      <c r="D64" s="174">
        <v>52.61</v>
      </c>
      <c r="E64" s="11">
        <f>E63</f>
        <v>0.4</v>
      </c>
      <c r="F64" s="11">
        <v>1.1000000000000001</v>
      </c>
      <c r="G64" s="11">
        <v>1.03</v>
      </c>
      <c r="H64" s="11">
        <v>1.01</v>
      </c>
      <c r="I64" s="144">
        <f t="shared" ref="I64:I76" si="15">(((D64*E64)*F64)+H64)*G64</f>
        <v>24.883152000000006</v>
      </c>
      <c r="J64" s="144"/>
      <c r="K64" s="191">
        <v>25</v>
      </c>
      <c r="L64" s="188"/>
      <c r="M64" s="188"/>
      <c r="N64" s="134"/>
      <c r="O64" s="28"/>
      <c r="P64" s="28"/>
      <c r="Q64" s="28"/>
      <c r="R64" s="28"/>
      <c r="S64" s="28"/>
      <c r="T64" s="28"/>
    </row>
    <row r="65" spans="1:20">
      <c r="A65" s="28" t="s">
        <v>845</v>
      </c>
      <c r="B65" s="11" t="s">
        <v>51</v>
      </c>
      <c r="C65" s="143">
        <v>30</v>
      </c>
      <c r="D65" s="174">
        <v>62.15</v>
      </c>
      <c r="E65" s="11">
        <f t="shared" ref="E65:E81" si="16">E64</f>
        <v>0.4</v>
      </c>
      <c r="F65" s="11">
        <v>1.1000000000000001</v>
      </c>
      <c r="G65" s="11">
        <v>1.03</v>
      </c>
      <c r="H65" s="11">
        <v>1.4</v>
      </c>
      <c r="I65" s="144">
        <f t="shared" si="15"/>
        <v>29.60838</v>
      </c>
      <c r="J65" s="144"/>
      <c r="K65" s="191">
        <v>25</v>
      </c>
      <c r="L65" s="188"/>
      <c r="M65" s="188"/>
      <c r="N65" s="134"/>
      <c r="O65" s="28"/>
      <c r="P65" s="28"/>
      <c r="Q65" s="28"/>
      <c r="R65" s="28"/>
      <c r="S65" s="28"/>
      <c r="T65" s="28"/>
    </row>
    <row r="66" spans="1:20">
      <c r="A66" s="28" t="s">
        <v>846</v>
      </c>
      <c r="B66" s="11" t="s">
        <v>53</v>
      </c>
      <c r="C66" s="143">
        <v>30</v>
      </c>
      <c r="D66" s="174">
        <v>76.989999999999995</v>
      </c>
      <c r="E66" s="11">
        <f t="shared" si="16"/>
        <v>0.4</v>
      </c>
      <c r="F66" s="11">
        <v>1.1000000000000001</v>
      </c>
      <c r="G66" s="11">
        <v>1.03</v>
      </c>
      <c r="H66" s="11">
        <v>1.4</v>
      </c>
      <c r="I66" s="144">
        <f t="shared" si="15"/>
        <v>36.333867999999995</v>
      </c>
      <c r="J66" s="144"/>
      <c r="K66" s="191">
        <v>25</v>
      </c>
      <c r="L66" s="188"/>
      <c r="M66" s="188"/>
      <c r="N66" s="134"/>
      <c r="O66" s="28"/>
      <c r="P66" s="28"/>
      <c r="Q66" s="28"/>
      <c r="R66" s="28"/>
      <c r="S66" s="28"/>
      <c r="T66" s="28"/>
    </row>
    <row r="67" spans="1:20">
      <c r="A67" s="28" t="s">
        <v>847</v>
      </c>
      <c r="B67" s="11" t="s">
        <v>55</v>
      </c>
      <c r="C67" s="143">
        <v>40</v>
      </c>
      <c r="D67" s="174">
        <v>139.19</v>
      </c>
      <c r="E67" s="11">
        <f t="shared" si="16"/>
        <v>0.4</v>
      </c>
      <c r="F67" s="11">
        <v>1.1000000000000001</v>
      </c>
      <c r="G67" s="11">
        <v>1.03</v>
      </c>
      <c r="H67" s="11">
        <v>1.69</v>
      </c>
      <c r="I67" s="144">
        <f t="shared" si="15"/>
        <v>64.821608000000012</v>
      </c>
      <c r="J67" s="144"/>
      <c r="K67" s="191">
        <v>25</v>
      </c>
      <c r="L67" s="188"/>
      <c r="M67" s="188"/>
      <c r="N67" s="134"/>
      <c r="O67" s="28"/>
      <c r="P67" s="28"/>
      <c r="Q67" s="28"/>
      <c r="R67" s="28"/>
      <c r="S67" s="28"/>
      <c r="T67" s="28"/>
    </row>
    <row r="68" spans="1:20">
      <c r="A68" s="28" t="s">
        <v>848</v>
      </c>
      <c r="B68" s="11" t="s">
        <v>57</v>
      </c>
      <c r="C68" s="143">
        <v>50</v>
      </c>
      <c r="D68" s="174">
        <f>150.94+((60.3+2*50)/1000)*3.14*226.44</f>
        <v>264.91676247999999</v>
      </c>
      <c r="E68" s="11">
        <f t="shared" si="16"/>
        <v>0.4</v>
      </c>
      <c r="F68" s="11">
        <v>1.1499999999999999</v>
      </c>
      <c r="G68" s="11">
        <v>1.03</v>
      </c>
      <c r="H68" s="11">
        <v>2.0499999999999998</v>
      </c>
      <c r="I68" s="144">
        <f t="shared" si="15"/>
        <v>127.62906206302399</v>
      </c>
      <c r="J68" s="144"/>
      <c r="K68" s="191">
        <f>23+((50+2*50)/1000)*3.14*43</f>
        <v>43.253</v>
      </c>
      <c r="L68" s="188"/>
      <c r="M68" s="188"/>
      <c r="N68" s="134"/>
      <c r="O68" s="28"/>
      <c r="P68" s="28"/>
      <c r="Q68" s="28"/>
      <c r="R68" s="28"/>
      <c r="S68" s="28"/>
      <c r="T68" s="28"/>
    </row>
    <row r="69" spans="1:20">
      <c r="A69" s="28" t="s">
        <v>849</v>
      </c>
      <c r="B69" s="11" t="s">
        <v>59</v>
      </c>
      <c r="C69" s="143">
        <v>70</v>
      </c>
      <c r="D69" s="174">
        <f>188.17+((76.1+2*65)/1000)*3.14*270</f>
        <v>362.90157999999997</v>
      </c>
      <c r="E69" s="11">
        <f t="shared" si="16"/>
        <v>0.4</v>
      </c>
      <c r="F69" s="11">
        <v>1.1499999999999999</v>
      </c>
      <c r="G69" s="11">
        <v>1.03</v>
      </c>
      <c r="H69" s="11">
        <v>2.59</v>
      </c>
      <c r="I69" s="144">
        <f t="shared" si="15"/>
        <v>174.61046860399998</v>
      </c>
      <c r="J69" s="144"/>
      <c r="K69" s="191">
        <f>23+((65+2*65)/1000)*3.14*43</f>
        <v>49.328900000000004</v>
      </c>
      <c r="L69" s="188"/>
      <c r="M69" s="188"/>
      <c r="N69" s="134"/>
      <c r="O69" s="28"/>
      <c r="P69" s="28"/>
      <c r="Q69" s="28"/>
      <c r="R69" s="28"/>
      <c r="S69" s="28"/>
      <c r="T69" s="28"/>
    </row>
    <row r="70" spans="1:20">
      <c r="A70" s="28" t="s">
        <v>850</v>
      </c>
      <c r="B70" s="11" t="s">
        <v>60</v>
      </c>
      <c r="C70" s="143">
        <v>80</v>
      </c>
      <c r="D70" s="174">
        <f>152.06+((88.9+2*80)/1000)*3.14*495.46</f>
        <v>539.28478115999997</v>
      </c>
      <c r="E70" s="11">
        <f t="shared" si="16"/>
        <v>0.4</v>
      </c>
      <c r="F70" s="11">
        <v>1.1499999999999999</v>
      </c>
      <c r="G70" s="11">
        <v>1.03</v>
      </c>
      <c r="H70" s="11">
        <v>3.14</v>
      </c>
      <c r="I70" s="144">
        <f t="shared" si="15"/>
        <v>258.74732931360796</v>
      </c>
      <c r="J70" s="144"/>
      <c r="K70" s="191">
        <f>26+((80+2*80)/1000)*3.14*43</f>
        <v>58.404800000000002</v>
      </c>
      <c r="L70" s="188"/>
      <c r="M70" s="188"/>
      <c r="N70" s="134"/>
      <c r="O70" s="28"/>
      <c r="P70" s="28"/>
      <c r="Q70" s="28"/>
      <c r="R70" s="28"/>
      <c r="S70" s="28"/>
      <c r="T70" s="28"/>
    </row>
    <row r="71" spans="1:20">
      <c r="A71" s="28" t="s">
        <v>851</v>
      </c>
      <c r="B71" s="11" t="s">
        <v>62</v>
      </c>
      <c r="C71" s="143">
        <v>100</v>
      </c>
      <c r="D71" s="174">
        <f>((114.3+2*50)/1000)*3.14*465.54+((114.3+2*100)/1000)*3.14*465.54</f>
        <v>772.70515416000012</v>
      </c>
      <c r="E71" s="11">
        <f t="shared" si="16"/>
        <v>0.4</v>
      </c>
      <c r="F71" s="11">
        <v>1.1499999999999999</v>
      </c>
      <c r="G71" s="11">
        <v>1.03</v>
      </c>
      <c r="H71" s="11">
        <v>3.86</v>
      </c>
      <c r="I71" s="144">
        <f t="shared" si="15"/>
        <v>370.0835020410081</v>
      </c>
      <c r="J71" s="144"/>
      <c r="K71" s="191">
        <f>((100+2*50)/1000)*3.14*43+((100+2*100)/1000)*3.14*43</f>
        <v>67.510000000000005</v>
      </c>
      <c r="L71" s="188"/>
      <c r="M71" s="188"/>
      <c r="N71" s="134"/>
      <c r="O71" s="28"/>
      <c r="P71" s="28"/>
      <c r="Q71" s="28"/>
      <c r="R71" s="28"/>
      <c r="S71" s="28"/>
      <c r="T71" s="28"/>
    </row>
    <row r="72" spans="1:20">
      <c r="A72" s="28" t="s">
        <v>852</v>
      </c>
      <c r="B72" s="11" t="s">
        <v>63</v>
      </c>
      <c r="C72" s="143">
        <v>100</v>
      </c>
      <c r="D72" s="174">
        <f>((139.7+2*50)/1000)*3.14*465.54+((139.7+2*100)/1000)*3.14*465.54</f>
        <v>846.96437064000008</v>
      </c>
      <c r="E72" s="11">
        <f t="shared" si="16"/>
        <v>0.4</v>
      </c>
      <c r="F72" s="11">
        <v>1.1499999999999999</v>
      </c>
      <c r="G72" s="11">
        <v>1.03</v>
      </c>
      <c r="H72" s="11">
        <v>4.7699999999999996</v>
      </c>
      <c r="I72" s="144">
        <f t="shared" si="15"/>
        <v>406.20481880923199</v>
      </c>
      <c r="J72" s="144"/>
      <c r="K72" s="191">
        <f>((125+2*50)/1000)*3.14*43+((125+2*100)/1000)*3.14*43</f>
        <v>74.26100000000001</v>
      </c>
      <c r="L72" s="188"/>
      <c r="M72" s="188"/>
      <c r="N72" s="134"/>
      <c r="O72" s="28"/>
      <c r="P72" s="28"/>
      <c r="Q72" s="28"/>
      <c r="R72" s="28"/>
      <c r="S72" s="28"/>
      <c r="T72" s="28"/>
    </row>
    <row r="73" spans="1:20">
      <c r="A73" s="28" t="s">
        <v>853</v>
      </c>
      <c r="B73" s="11" t="s">
        <v>66</v>
      </c>
      <c r="C73" s="143">
        <v>100</v>
      </c>
      <c r="D73" s="174">
        <f>((168.3+2*50)/1000)*3.14*465.54+((168.3+2*100)/1000)*3.14*465.54</f>
        <v>930.57907896000006</v>
      </c>
      <c r="E73" s="11">
        <f t="shared" si="16"/>
        <v>0.4</v>
      </c>
      <c r="F73" s="11">
        <v>1.1499999999999999</v>
      </c>
      <c r="G73" s="11">
        <v>1.03</v>
      </c>
      <c r="H73" s="11">
        <v>5.67</v>
      </c>
      <c r="I73" s="144">
        <f t="shared" si="15"/>
        <v>446.74846761124809</v>
      </c>
      <c r="J73" s="144"/>
      <c r="K73" s="191">
        <f>((150+2*50)/1000)*3.14*43+((150+2*100)/1000)*3.14*43</f>
        <v>81.012</v>
      </c>
      <c r="L73" s="188"/>
      <c r="M73" s="188"/>
      <c r="N73" s="134"/>
      <c r="O73" s="28"/>
      <c r="P73" s="28"/>
      <c r="Q73" s="28"/>
      <c r="R73" s="28"/>
      <c r="S73" s="28"/>
      <c r="T73" s="28"/>
    </row>
    <row r="74" spans="1:20">
      <c r="A74" s="28" t="s">
        <v>854</v>
      </c>
      <c r="B74" s="11" t="s">
        <v>121</v>
      </c>
      <c r="C74" s="143">
        <v>100</v>
      </c>
      <c r="D74" s="174">
        <f>((219.1+2*50)/1000)*3.14*465.54+((219.1+2*100)/1000)*3.14*465.54</f>
        <v>1079.0975119200002</v>
      </c>
      <c r="E74" s="11">
        <f t="shared" si="16"/>
        <v>0.4</v>
      </c>
      <c r="F74" s="11">
        <v>1.1499999999999999</v>
      </c>
      <c r="G74" s="11">
        <v>1.03</v>
      </c>
      <c r="H74" s="11">
        <v>5.67</v>
      </c>
      <c r="I74" s="144">
        <f t="shared" si="15"/>
        <v>517.11650114769611</v>
      </c>
      <c r="J74" s="144"/>
      <c r="K74" s="191">
        <f>((200+2*50)/1000)*3.14*43+((200+2*100)/1000)*3.14*43</f>
        <v>94.51400000000001</v>
      </c>
      <c r="L74" s="188"/>
      <c r="M74" s="188"/>
      <c r="N74" s="134"/>
      <c r="O74" s="28"/>
      <c r="P74" s="28"/>
      <c r="Q74" s="28"/>
      <c r="R74" s="28"/>
      <c r="S74" s="28"/>
      <c r="T74" s="28"/>
    </row>
    <row r="75" spans="1:20">
      <c r="A75" s="28" t="s">
        <v>855</v>
      </c>
      <c r="B75" s="11" t="s">
        <v>122</v>
      </c>
      <c r="C75" s="143">
        <v>100</v>
      </c>
      <c r="D75" s="174">
        <f>((273+2*50)/1000)*3.14*465.54+((273+2*100)/1000)*3.14*465.54</f>
        <v>1236.6790776000003</v>
      </c>
      <c r="E75" s="11">
        <f t="shared" si="16"/>
        <v>0.4</v>
      </c>
      <c r="F75" s="11">
        <v>1.1499999999999999</v>
      </c>
      <c r="G75" s="11">
        <v>1.03</v>
      </c>
      <c r="H75" s="11">
        <v>5.67</v>
      </c>
      <c r="I75" s="144">
        <f t="shared" si="15"/>
        <v>591.77864696688005</v>
      </c>
      <c r="J75" s="144"/>
      <c r="K75" s="191">
        <f>((250+2*50)/1000)*3.14*43+((250+2*100)/1000)*3.14*43</f>
        <v>108.01599999999999</v>
      </c>
      <c r="L75" s="188"/>
      <c r="M75" s="188"/>
      <c r="N75" s="134"/>
      <c r="O75" s="28"/>
      <c r="P75" s="28"/>
      <c r="Q75" s="28"/>
      <c r="R75" s="28"/>
      <c r="S75" s="28"/>
      <c r="T75" s="28"/>
    </row>
    <row r="76" spans="1:20">
      <c r="A76" s="28" t="s">
        <v>856</v>
      </c>
      <c r="B76" s="11" t="s">
        <v>156</v>
      </c>
      <c r="C76" s="143">
        <v>100</v>
      </c>
      <c r="D76" s="174">
        <f>((323.9+2*50)/1000)*3.14*465.54+((323.9+2*100)/1000)*3.14*465.54</f>
        <v>1385.4898696800001</v>
      </c>
      <c r="E76" s="11">
        <f t="shared" si="16"/>
        <v>0.4</v>
      </c>
      <c r="F76" s="11">
        <v>1.1499999999999999</v>
      </c>
      <c r="G76" s="11">
        <v>1.03</v>
      </c>
      <c r="H76" s="11">
        <v>5.67</v>
      </c>
      <c r="I76" s="144">
        <f t="shared" si="15"/>
        <v>662.28520025438399</v>
      </c>
      <c r="J76" s="144"/>
      <c r="K76" s="191">
        <f>((300+2*50)/1000)*3.14*43+((300+2*100)/1000)*3.14*43</f>
        <v>121.51800000000001</v>
      </c>
      <c r="L76" s="188"/>
      <c r="M76" s="188"/>
      <c r="N76" s="134"/>
      <c r="O76" s="28"/>
      <c r="P76" s="28"/>
      <c r="Q76" s="28"/>
      <c r="R76" s="28"/>
      <c r="S76" s="28"/>
      <c r="T76" s="28"/>
    </row>
    <row r="77" spans="1:20">
      <c r="A77" s="28" t="s">
        <v>857</v>
      </c>
      <c r="B77" s="11" t="s">
        <v>158</v>
      </c>
      <c r="C77" s="143">
        <v>100</v>
      </c>
      <c r="D77" s="174">
        <f>((355.6+2*50)/1000)*3.14*465.54+((355.6+2*100)/1000)*3.14*465.54</f>
        <v>1478.1677107200001</v>
      </c>
      <c r="E77" s="11">
        <f t="shared" si="16"/>
        <v>0.4</v>
      </c>
      <c r="F77" s="11">
        <v>1.1499999999999999</v>
      </c>
      <c r="G77" s="11">
        <v>1.03</v>
      </c>
      <c r="H77" s="11">
        <v>5.67</v>
      </c>
      <c r="I77" s="144">
        <f>(((D77*E77)*F77)+H77)*G77</f>
        <v>706.19596133913603</v>
      </c>
      <c r="J77" s="144"/>
      <c r="K77" s="191">
        <f>((300+2*50)/1000)*3.14*43+((300+2*100)/1000)*3.14*43</f>
        <v>121.51800000000001</v>
      </c>
      <c r="L77" s="188"/>
      <c r="M77" s="188"/>
      <c r="N77" s="134"/>
      <c r="O77" s="28"/>
      <c r="P77" s="28"/>
      <c r="Q77" s="28"/>
      <c r="R77" s="28"/>
      <c r="S77" s="28"/>
      <c r="T77" s="28"/>
    </row>
    <row r="78" spans="1:20">
      <c r="A78" s="28" t="s">
        <v>858</v>
      </c>
      <c r="B78" s="11" t="s">
        <v>176</v>
      </c>
      <c r="C78" s="143">
        <v>100</v>
      </c>
      <c r="D78" s="174">
        <f>((410+2*50)/1000)*3.14*465.54+((410+2*100)/1000)*3.14*465.54</f>
        <v>1637.2110720000001</v>
      </c>
      <c r="E78" s="11">
        <f t="shared" si="16"/>
        <v>0.4</v>
      </c>
      <c r="F78" s="11">
        <v>1.1499999999999999</v>
      </c>
      <c r="G78" s="11">
        <v>1.03</v>
      </c>
      <c r="H78" s="11">
        <v>7.67</v>
      </c>
      <c r="I78" s="144">
        <f>(((D78*E78)*F78)+H78)*G78</f>
        <v>783.61070591359987</v>
      </c>
      <c r="J78" s="144"/>
      <c r="K78" s="191">
        <f>((410+2*50)/1000)*3.14*43+((410+2*100)/1000)*3.14*43</f>
        <v>151.22239999999999</v>
      </c>
      <c r="L78" s="188"/>
      <c r="M78" s="188"/>
      <c r="N78" s="134"/>
      <c r="O78" s="28"/>
      <c r="P78" s="28"/>
      <c r="Q78" s="28"/>
      <c r="R78" s="28"/>
      <c r="S78" s="28"/>
      <c r="T78" s="28"/>
    </row>
    <row r="79" spans="1:20">
      <c r="A79" s="28" t="s">
        <v>859</v>
      </c>
      <c r="B79" s="11" t="s">
        <v>831</v>
      </c>
      <c r="C79" s="143">
        <v>100</v>
      </c>
      <c r="D79" s="174">
        <f>((455+2*50)/1000)*3.14*465.54+((455+2*100)/1000)*3.14*465.54</f>
        <v>1768.7726760000003</v>
      </c>
      <c r="E79" s="11">
        <f t="shared" si="16"/>
        <v>0.4</v>
      </c>
      <c r="F79" s="11">
        <v>1.1499999999999999</v>
      </c>
      <c r="G79" s="11">
        <v>1.03</v>
      </c>
      <c r="H79" s="11">
        <v>7.67</v>
      </c>
      <c r="I79" s="144">
        <f>(((D79*E79)*F79)+H79)*G79</f>
        <v>845.94459388880011</v>
      </c>
      <c r="J79" s="144"/>
      <c r="K79" s="191">
        <f>((455+2*50)/1000)*3.14*43+((455+2*100)/1000)*3.14*43</f>
        <v>163.37420000000003</v>
      </c>
      <c r="L79" s="188"/>
      <c r="M79" s="188"/>
      <c r="N79" s="134"/>
      <c r="O79" s="28"/>
      <c r="P79" s="28"/>
      <c r="Q79" s="28"/>
      <c r="R79" s="28"/>
      <c r="S79" s="28"/>
      <c r="T79" s="28"/>
    </row>
    <row r="80" spans="1:20">
      <c r="A80" s="28" t="s">
        <v>860</v>
      </c>
      <c r="B80" s="11" t="s">
        <v>178</v>
      </c>
      <c r="C80" s="143">
        <v>100</v>
      </c>
      <c r="D80" s="174">
        <f>((508+2*50)/1000)*3.14*465.54+((508+2*100)/1000)*3.14*465.54</f>
        <v>1923.7230095999998</v>
      </c>
      <c r="E80" s="11">
        <f t="shared" si="16"/>
        <v>0.4</v>
      </c>
      <c r="F80" s="11">
        <v>1.1499999999999999</v>
      </c>
      <c r="G80" s="11">
        <v>1.03</v>
      </c>
      <c r="H80" s="11">
        <v>10.67</v>
      </c>
      <c r="I80" s="144">
        <f>(((D80*E80)*F80)+H80)*G80</f>
        <v>922.45006194847986</v>
      </c>
      <c r="J80" s="144"/>
      <c r="K80" s="191">
        <f>((508+2*50)/1000)*3.14*43+((508+2*100)/1000)*3.14*43</f>
        <v>177.68631999999997</v>
      </c>
      <c r="L80" s="188"/>
      <c r="M80" s="188"/>
      <c r="N80" s="134"/>
      <c r="O80" s="28"/>
      <c r="P80" s="28"/>
      <c r="Q80" s="28"/>
      <c r="R80" s="28"/>
      <c r="S80" s="28"/>
      <c r="T80" s="28"/>
    </row>
    <row r="81" spans="1:20">
      <c r="A81" s="28" t="s">
        <v>861</v>
      </c>
      <c r="B81" s="11" t="s">
        <v>190</v>
      </c>
      <c r="C81" s="143">
        <v>100</v>
      </c>
      <c r="D81" s="174">
        <f>((610+2*50)/1000)*3.14*465.54+((610+2*100)/1000)*3.14*465.54</f>
        <v>2221.9293120000002</v>
      </c>
      <c r="E81" s="11">
        <f t="shared" si="16"/>
        <v>0.4</v>
      </c>
      <c r="F81" s="11">
        <v>1.1499999999999999</v>
      </c>
      <c r="G81" s="11">
        <v>1.03</v>
      </c>
      <c r="H81" s="11">
        <v>15.67</v>
      </c>
      <c r="I81" s="144">
        <f>(((D81*E81)*F81)+H81)*G81</f>
        <v>1068.8902080256</v>
      </c>
      <c r="J81" s="144"/>
      <c r="K81" s="191">
        <f>((610+2*50)/1000)*3.14*43+((610+2*100)/1000)*3.14*43</f>
        <v>205.2304</v>
      </c>
      <c r="L81" s="188"/>
      <c r="M81" s="188"/>
      <c r="N81" s="134"/>
      <c r="O81" s="28"/>
      <c r="P81" s="28"/>
      <c r="Q81" s="28"/>
      <c r="R81" s="28"/>
      <c r="S81" s="28"/>
      <c r="T81" s="28"/>
    </row>
    <row r="82" spans="1:20">
      <c r="A82" s="28"/>
      <c r="B82" s="28"/>
      <c r="C82" s="134"/>
      <c r="D82" s="187"/>
      <c r="E82" s="28"/>
      <c r="F82" s="28"/>
      <c r="G82" s="28"/>
      <c r="H82" s="28"/>
      <c r="I82" s="133"/>
      <c r="J82" s="133"/>
      <c r="K82" s="179"/>
      <c r="L82" s="188"/>
      <c r="M82" s="188"/>
      <c r="N82" s="134"/>
      <c r="O82" s="28"/>
      <c r="P82" s="28"/>
      <c r="Q82" s="28"/>
      <c r="R82" s="28"/>
      <c r="S82" s="28"/>
      <c r="T82" s="28"/>
    </row>
    <row r="83" spans="1:20">
      <c r="A83" s="28"/>
      <c r="B83" s="28"/>
      <c r="C83" s="134"/>
      <c r="D83" s="187"/>
      <c r="E83" s="28"/>
      <c r="F83" s="28"/>
      <c r="G83" s="28"/>
      <c r="H83" s="28"/>
      <c r="I83" s="133"/>
      <c r="J83" s="133"/>
      <c r="K83" s="179"/>
      <c r="L83" s="188"/>
      <c r="M83" s="188"/>
      <c r="N83" s="134"/>
      <c r="O83" s="28"/>
      <c r="P83" s="28"/>
      <c r="Q83" s="28"/>
      <c r="R83" s="28"/>
      <c r="S83" s="28"/>
      <c r="T83" s="28"/>
    </row>
    <row r="84" spans="1:20">
      <c r="A84" s="847"/>
      <c r="B84" s="847"/>
      <c r="C84" s="848"/>
      <c r="D84" s="849"/>
      <c r="E84" s="847"/>
      <c r="F84" s="847"/>
      <c r="G84" s="847"/>
      <c r="H84" s="847"/>
      <c r="I84" s="850"/>
      <c r="J84" s="850"/>
      <c r="K84" s="851"/>
      <c r="L84" s="852"/>
      <c r="M84" s="852"/>
      <c r="N84" s="848"/>
      <c r="O84" s="847"/>
      <c r="P84" s="847"/>
      <c r="Q84" s="847"/>
      <c r="R84" s="847"/>
      <c r="S84" s="847"/>
      <c r="T84" s="28"/>
    </row>
    <row r="85" spans="1:20">
      <c r="A85" s="853"/>
      <c r="B85" s="853"/>
      <c r="C85" s="854"/>
      <c r="D85" s="855"/>
      <c r="E85" s="853"/>
      <c r="F85" s="853"/>
      <c r="G85" s="853"/>
      <c r="H85" s="853"/>
      <c r="I85" s="856"/>
      <c r="J85" s="856"/>
      <c r="K85" s="851"/>
      <c r="L85" s="857"/>
      <c r="M85" s="857"/>
      <c r="N85" s="854"/>
      <c r="O85" s="853"/>
      <c r="P85" s="853"/>
      <c r="Q85" s="853"/>
      <c r="R85" s="853"/>
      <c r="S85" s="853"/>
    </row>
    <row r="86" spans="1:20">
      <c r="A86" s="853"/>
      <c r="B86" s="847" t="s">
        <v>766</v>
      </c>
      <c r="C86" s="848" t="s">
        <v>792</v>
      </c>
      <c r="D86" s="858" t="s">
        <v>862</v>
      </c>
      <c r="E86" s="853"/>
      <c r="F86" s="853"/>
      <c r="G86" s="853"/>
      <c r="H86" s="853"/>
      <c r="I86" s="856"/>
      <c r="J86" s="856"/>
      <c r="K86" s="851"/>
      <c r="L86" s="857"/>
      <c r="M86" s="857"/>
      <c r="N86" s="854"/>
      <c r="O86" s="847" t="s">
        <v>766</v>
      </c>
      <c r="P86" s="848" t="s">
        <v>792</v>
      </c>
      <c r="Q86" s="859" t="s">
        <v>863</v>
      </c>
      <c r="R86" s="853"/>
      <c r="S86" s="853"/>
    </row>
    <row r="87" spans="1:20" ht="60">
      <c r="A87" s="853"/>
      <c r="B87" s="860" t="s">
        <v>769</v>
      </c>
      <c r="C87" s="861" t="s">
        <v>770</v>
      </c>
      <c r="D87" s="862" t="s">
        <v>771</v>
      </c>
      <c r="E87" s="860" t="s">
        <v>613</v>
      </c>
      <c r="F87" s="860" t="s">
        <v>772</v>
      </c>
      <c r="G87" s="860" t="s">
        <v>773</v>
      </c>
      <c r="H87" s="860" t="s">
        <v>774</v>
      </c>
      <c r="I87" s="863" t="s">
        <v>771</v>
      </c>
      <c r="J87" s="863"/>
      <c r="K87" s="864" t="s">
        <v>775</v>
      </c>
      <c r="L87" s="857" t="s">
        <v>821</v>
      </c>
      <c r="M87" s="857"/>
      <c r="N87" s="865" t="s">
        <v>864</v>
      </c>
      <c r="O87" s="860" t="s">
        <v>769</v>
      </c>
      <c r="P87" s="861" t="s">
        <v>770</v>
      </c>
      <c r="Q87" s="862" t="s">
        <v>771</v>
      </c>
      <c r="R87" s="860" t="s">
        <v>613</v>
      </c>
      <c r="S87" s="860" t="s">
        <v>772</v>
      </c>
      <c r="T87" s="11" t="s">
        <v>773</v>
      </c>
    </row>
    <row r="88" spans="1:20">
      <c r="A88" s="853"/>
      <c r="B88" s="860" t="s">
        <v>47</v>
      </c>
      <c r="C88" s="861">
        <v>10</v>
      </c>
      <c r="D88" s="862">
        <v>17.05</v>
      </c>
      <c r="E88" s="860">
        <v>0.5</v>
      </c>
      <c r="F88" s="860">
        <v>1.1000000000000001</v>
      </c>
      <c r="G88" s="860">
        <v>1.03</v>
      </c>
      <c r="H88" s="860">
        <v>1.01</v>
      </c>
      <c r="I88" s="866">
        <f>(((D88*E88)*F88)+H88)*G88</f>
        <v>10.699125000000002</v>
      </c>
      <c r="J88" s="867"/>
      <c r="K88" s="868">
        <v>21</v>
      </c>
      <c r="L88" s="869">
        <f>I88+K88</f>
        <v>31.699125000000002</v>
      </c>
      <c r="M88" s="869"/>
      <c r="N88" s="870">
        <v>9.1999999999999993</v>
      </c>
      <c r="O88" s="871" t="s">
        <v>47</v>
      </c>
      <c r="P88" s="872">
        <v>12</v>
      </c>
      <c r="Q88" s="873">
        <f>D88</f>
        <v>17.05</v>
      </c>
      <c r="R88" s="860">
        <v>0.5</v>
      </c>
      <c r="S88" s="860">
        <v>1.1000000000000001</v>
      </c>
      <c r="T88" s="11">
        <v>1.03</v>
      </c>
    </row>
    <row r="89" spans="1:20">
      <c r="A89" s="853"/>
      <c r="B89" s="860" t="s">
        <v>49</v>
      </c>
      <c r="C89" s="861">
        <v>15</v>
      </c>
      <c r="D89" s="862">
        <v>18.48</v>
      </c>
      <c r="E89" s="860">
        <v>0.5</v>
      </c>
      <c r="F89" s="860">
        <v>1.1000000000000001</v>
      </c>
      <c r="G89" s="860">
        <v>1.03</v>
      </c>
      <c r="H89" s="860">
        <v>1.01</v>
      </c>
      <c r="I89" s="866">
        <f t="shared" ref="I89:I101" si="17">(((D89*E89)*F89)+H89)*G89</f>
        <v>11.509220000000001</v>
      </c>
      <c r="J89" s="867"/>
      <c r="K89" s="868">
        <v>21</v>
      </c>
      <c r="L89" s="869">
        <f t="shared" ref="L89:L101" si="18">I89+K89</f>
        <v>32.509219999999999</v>
      </c>
      <c r="M89" s="869"/>
      <c r="N89" s="870">
        <v>9.3000000000000007</v>
      </c>
      <c r="O89" s="871" t="s">
        <v>49</v>
      </c>
      <c r="P89" s="872">
        <v>12.5</v>
      </c>
      <c r="Q89" s="873">
        <f>D89</f>
        <v>18.48</v>
      </c>
      <c r="R89" s="860">
        <v>0.5</v>
      </c>
      <c r="S89" s="860">
        <v>1.1000000000000001</v>
      </c>
      <c r="T89" s="11">
        <v>1.03</v>
      </c>
    </row>
    <row r="90" spans="1:20">
      <c r="A90" s="853"/>
      <c r="B90" s="860" t="s">
        <v>51</v>
      </c>
      <c r="C90" s="861">
        <v>15</v>
      </c>
      <c r="D90" s="862">
        <v>22.38</v>
      </c>
      <c r="E90" s="860">
        <v>0.5</v>
      </c>
      <c r="F90" s="860">
        <v>1.1000000000000001</v>
      </c>
      <c r="G90" s="860">
        <v>1.03</v>
      </c>
      <c r="H90" s="860">
        <v>1.4</v>
      </c>
      <c r="I90" s="866">
        <f t="shared" si="17"/>
        <v>14.120270000000001</v>
      </c>
      <c r="J90" s="867"/>
      <c r="K90" s="868">
        <v>21</v>
      </c>
      <c r="L90" s="869">
        <f t="shared" si="18"/>
        <v>35.120270000000005</v>
      </c>
      <c r="M90" s="869"/>
      <c r="N90" s="870">
        <v>13.9</v>
      </c>
      <c r="O90" s="871" t="s">
        <v>51</v>
      </c>
      <c r="P90" s="872">
        <v>16</v>
      </c>
      <c r="Q90" s="873">
        <v>28.22</v>
      </c>
      <c r="R90" s="860">
        <v>0.5</v>
      </c>
      <c r="S90" s="860">
        <v>1.1000000000000001</v>
      </c>
      <c r="T90" s="11">
        <v>1.03</v>
      </c>
    </row>
    <row r="91" spans="1:20">
      <c r="A91" s="853"/>
      <c r="B91" s="860" t="s">
        <v>53</v>
      </c>
      <c r="C91" s="861">
        <v>15</v>
      </c>
      <c r="D91" s="862">
        <v>25.02</v>
      </c>
      <c r="E91" s="860">
        <v>0.5</v>
      </c>
      <c r="F91" s="860">
        <v>1.1000000000000001</v>
      </c>
      <c r="G91" s="860">
        <v>1.03</v>
      </c>
      <c r="H91" s="860">
        <v>1.4</v>
      </c>
      <c r="I91" s="866">
        <f t="shared" si="17"/>
        <v>15.615830000000003</v>
      </c>
      <c r="J91" s="867"/>
      <c r="K91" s="868">
        <v>21</v>
      </c>
      <c r="L91" s="869">
        <f t="shared" si="18"/>
        <v>36.615830000000003</v>
      </c>
      <c r="M91" s="869"/>
      <c r="N91" s="870">
        <v>16.899999999999999</v>
      </c>
      <c r="O91" s="871" t="s">
        <v>53</v>
      </c>
      <c r="P91" s="872">
        <v>20.5</v>
      </c>
      <c r="Q91" s="873">
        <v>51.37</v>
      </c>
      <c r="R91" s="860">
        <v>0.5</v>
      </c>
      <c r="S91" s="860">
        <v>1.1000000000000001</v>
      </c>
      <c r="T91" s="11">
        <v>1.03</v>
      </c>
    </row>
    <row r="92" spans="1:20">
      <c r="A92" s="853"/>
      <c r="B92" s="860" t="s">
        <v>55</v>
      </c>
      <c r="C92" s="861">
        <v>20</v>
      </c>
      <c r="D92" s="862">
        <v>59.81</v>
      </c>
      <c r="E92" s="860">
        <v>0.5</v>
      </c>
      <c r="F92" s="860">
        <v>1.1000000000000001</v>
      </c>
      <c r="G92" s="860">
        <v>1.03</v>
      </c>
      <c r="H92" s="860">
        <v>1.69</v>
      </c>
      <c r="I92" s="866">
        <f t="shared" si="17"/>
        <v>35.623065000000004</v>
      </c>
      <c r="J92" s="867"/>
      <c r="K92" s="868">
        <v>21</v>
      </c>
      <c r="L92" s="869">
        <f t="shared" si="18"/>
        <v>56.623065000000004</v>
      </c>
      <c r="M92" s="869"/>
      <c r="N92" s="870">
        <v>19.600000000000001</v>
      </c>
      <c r="O92" s="871" t="s">
        <v>55</v>
      </c>
      <c r="P92" s="872">
        <v>21</v>
      </c>
      <c r="Q92" s="873">
        <v>59.81</v>
      </c>
      <c r="R92" s="860">
        <v>0.5</v>
      </c>
      <c r="S92" s="860">
        <v>1.1000000000000001</v>
      </c>
      <c r="T92" s="11">
        <v>1.03</v>
      </c>
    </row>
    <row r="93" spans="1:20">
      <c r="A93" s="853"/>
      <c r="B93" s="860" t="s">
        <v>57</v>
      </c>
      <c r="C93" s="861">
        <v>25</v>
      </c>
      <c r="D93" s="862">
        <v>105.83</v>
      </c>
      <c r="E93" s="860">
        <v>0.5</v>
      </c>
      <c r="F93" s="860">
        <v>1.1499999999999999</v>
      </c>
      <c r="G93" s="860">
        <v>1.03</v>
      </c>
      <c r="H93" s="860">
        <v>2.0499999999999998</v>
      </c>
      <c r="I93" s="866">
        <f t="shared" si="17"/>
        <v>64.789317499999996</v>
      </c>
      <c r="J93" s="867"/>
      <c r="K93" s="868">
        <v>21</v>
      </c>
      <c r="L93" s="869">
        <f t="shared" si="18"/>
        <v>85.789317499999996</v>
      </c>
      <c r="M93" s="869"/>
      <c r="N93" s="870">
        <v>28</v>
      </c>
      <c r="O93" s="871" t="s">
        <v>57</v>
      </c>
      <c r="P93" s="872">
        <v>29</v>
      </c>
      <c r="Q93" s="873">
        <v>105.83</v>
      </c>
      <c r="R93" s="860">
        <v>0.5</v>
      </c>
      <c r="S93" s="860">
        <v>1.1499999999999999</v>
      </c>
      <c r="T93" s="11">
        <v>1.03</v>
      </c>
    </row>
    <row r="94" spans="1:20">
      <c r="A94" s="853"/>
      <c r="B94" s="860" t="s">
        <v>59</v>
      </c>
      <c r="C94" s="861">
        <v>30</v>
      </c>
      <c r="D94" s="862">
        <v>138.75</v>
      </c>
      <c r="E94" s="860">
        <v>0.5</v>
      </c>
      <c r="F94" s="860">
        <v>1.1499999999999999</v>
      </c>
      <c r="G94" s="860">
        <v>1.03</v>
      </c>
      <c r="H94" s="860">
        <v>2.59</v>
      </c>
      <c r="I94" s="866">
        <f t="shared" si="17"/>
        <v>84.842387500000001</v>
      </c>
      <c r="J94" s="867"/>
      <c r="K94" s="868">
        <v>21</v>
      </c>
      <c r="L94" s="869">
        <f t="shared" si="18"/>
        <v>105.8423875</v>
      </c>
      <c r="M94" s="869"/>
      <c r="N94" s="870">
        <v>36.200000000000003</v>
      </c>
      <c r="O94" s="871" t="s">
        <v>59</v>
      </c>
      <c r="P94" s="872">
        <v>40.5</v>
      </c>
      <c r="Q94" s="873">
        <v>188.17</v>
      </c>
      <c r="R94" s="860">
        <v>0.5</v>
      </c>
      <c r="S94" s="860">
        <v>1.1499999999999999</v>
      </c>
      <c r="T94" s="11">
        <v>1.03</v>
      </c>
    </row>
    <row r="95" spans="1:20">
      <c r="A95" s="853"/>
      <c r="B95" s="860" t="s">
        <v>60</v>
      </c>
      <c r="C95" s="861">
        <v>40</v>
      </c>
      <c r="D95" s="862">
        <v>208.48</v>
      </c>
      <c r="E95" s="860">
        <v>0.5</v>
      </c>
      <c r="F95" s="860">
        <v>1.1499999999999999</v>
      </c>
      <c r="G95" s="860">
        <v>1.03</v>
      </c>
      <c r="H95" s="860">
        <v>3.14</v>
      </c>
      <c r="I95" s="866">
        <f t="shared" si="17"/>
        <v>126.70648</v>
      </c>
      <c r="J95" s="867"/>
      <c r="K95" s="868">
        <v>26</v>
      </c>
      <c r="L95" s="869">
        <f t="shared" si="18"/>
        <v>152.70648</v>
      </c>
      <c r="M95" s="869"/>
      <c r="N95" s="870">
        <v>42.5</v>
      </c>
      <c r="O95" s="871" t="s">
        <v>60</v>
      </c>
      <c r="P95" s="872">
        <v>42.5</v>
      </c>
      <c r="Q95" s="873">
        <v>254.78</v>
      </c>
      <c r="R95" s="860">
        <v>0.5</v>
      </c>
      <c r="S95" s="860">
        <v>1.1499999999999999</v>
      </c>
      <c r="T95" s="11">
        <v>1.03</v>
      </c>
    </row>
    <row r="96" spans="1:20">
      <c r="A96" s="853"/>
      <c r="B96" s="860" t="s">
        <v>62</v>
      </c>
      <c r="C96" s="861">
        <v>50</v>
      </c>
      <c r="D96" s="862">
        <f>((114.3+2*50)/1000)*3.14*495.46</f>
        <v>333.39602492000006</v>
      </c>
      <c r="E96" s="860">
        <v>0.5</v>
      </c>
      <c r="F96" s="860">
        <v>1.1499999999999999</v>
      </c>
      <c r="G96" s="860">
        <v>1.03</v>
      </c>
      <c r="H96" s="860">
        <v>3.86</v>
      </c>
      <c r="I96" s="866">
        <f t="shared" si="17"/>
        <v>201.42959575887005</v>
      </c>
      <c r="J96" s="867"/>
      <c r="K96" s="868">
        <v>26</v>
      </c>
      <c r="L96" s="869">
        <f t="shared" si="18"/>
        <v>227.42959575887005</v>
      </c>
      <c r="M96" s="869"/>
      <c r="N96" s="870">
        <v>51.9</v>
      </c>
      <c r="O96" s="871" t="s">
        <v>62</v>
      </c>
      <c r="P96" s="872" t="s">
        <v>865</v>
      </c>
      <c r="Q96" s="873">
        <f>((114.3+2*50)/1000)*3.14*495.46+((114.3+2*50+2*3)/1000)*3.14*100.37</f>
        <v>402.82616946000007</v>
      </c>
      <c r="R96" s="860">
        <v>0.5</v>
      </c>
      <c r="S96" s="860">
        <v>1.1499999999999999</v>
      </c>
      <c r="T96" s="11">
        <v>1.03</v>
      </c>
    </row>
    <row r="97" spans="1:20">
      <c r="A97" s="853"/>
      <c r="B97" s="860" t="s">
        <v>63</v>
      </c>
      <c r="C97" s="861">
        <v>50</v>
      </c>
      <c r="D97" s="862">
        <f>((139.7+2*50)/1000)*3.14*495.46</f>
        <v>372.91193268000001</v>
      </c>
      <c r="E97" s="860">
        <v>0.5</v>
      </c>
      <c r="F97" s="860">
        <v>1.1499999999999999</v>
      </c>
      <c r="G97" s="860">
        <v>1.03</v>
      </c>
      <c r="H97" s="860">
        <v>4.7699999999999996</v>
      </c>
      <c r="I97" s="866">
        <f t="shared" si="17"/>
        <v>225.77019212973002</v>
      </c>
      <c r="J97" s="867"/>
      <c r="K97" s="868">
        <v>28</v>
      </c>
      <c r="L97" s="869">
        <f t="shared" si="18"/>
        <v>253.77019212973002</v>
      </c>
      <c r="M97" s="869"/>
      <c r="N97" s="870">
        <v>51.9</v>
      </c>
      <c r="O97" s="871" t="s">
        <v>63</v>
      </c>
      <c r="P97" s="872" t="s">
        <v>865</v>
      </c>
      <c r="Q97" s="873">
        <f>((139.7+2*50)/1000)*3.14*495.46+((139.7+2*50+2*3)/1000)*3.14*100.37</f>
        <v>450.34718694000003</v>
      </c>
      <c r="R97" s="860">
        <v>0.5</v>
      </c>
      <c r="S97" s="860">
        <v>1.1499999999999999</v>
      </c>
      <c r="T97" s="11">
        <v>1.03</v>
      </c>
    </row>
    <row r="98" spans="1:20">
      <c r="A98" s="853"/>
      <c r="B98" s="860" t="s">
        <v>66</v>
      </c>
      <c r="C98" s="861">
        <v>50</v>
      </c>
      <c r="D98" s="862">
        <f>((168.3+2*50)/1000)*3.14*495.46</f>
        <v>417.40622252000009</v>
      </c>
      <c r="E98" s="860">
        <v>0.5</v>
      </c>
      <c r="F98" s="860">
        <v>1.1499999999999999</v>
      </c>
      <c r="G98" s="860">
        <v>1.03</v>
      </c>
      <c r="H98" s="860">
        <v>5.67</v>
      </c>
      <c r="I98" s="866">
        <f t="shared" si="17"/>
        <v>253.04893528747002</v>
      </c>
      <c r="J98" s="867"/>
      <c r="K98" s="868">
        <f>((150+2*50)/1000)*3.14*43</f>
        <v>33.755000000000003</v>
      </c>
      <c r="L98" s="869">
        <f t="shared" si="18"/>
        <v>286.80393528747004</v>
      </c>
      <c r="M98" s="869"/>
      <c r="N98" s="874">
        <v>51.817960643236034</v>
      </c>
      <c r="O98" s="871" t="s">
        <v>66</v>
      </c>
      <c r="P98" s="872" t="s">
        <v>865</v>
      </c>
      <c r="Q98" s="873">
        <f>((168.3+2*50)/1000)*3.14*495.46+((168.3+2*50+2*3)/1000)*3.14*100.37</f>
        <v>503.85510426000008</v>
      </c>
      <c r="R98" s="860">
        <v>0.5</v>
      </c>
      <c r="S98" s="860">
        <v>1.1499999999999999</v>
      </c>
      <c r="T98" s="11">
        <v>1.03</v>
      </c>
    </row>
    <row r="99" spans="1:20">
      <c r="A99" s="853"/>
      <c r="B99" s="860" t="s">
        <v>121</v>
      </c>
      <c r="C99" s="861">
        <v>50</v>
      </c>
      <c r="D99" s="862">
        <f>((219.1+2*50)/1000)*3.14*495.46</f>
        <v>496.43803804000004</v>
      </c>
      <c r="E99" s="860">
        <v>0.5</v>
      </c>
      <c r="F99" s="860">
        <v>1.1499999999999999</v>
      </c>
      <c r="G99" s="860">
        <v>1.03</v>
      </c>
      <c r="H99" s="860">
        <v>5.67</v>
      </c>
      <c r="I99" s="866">
        <f t="shared" si="17"/>
        <v>299.85552802919005</v>
      </c>
      <c r="J99" s="867"/>
      <c r="K99" s="868">
        <f>((200+2*50)/1000)*3.14*43</f>
        <v>40.506</v>
      </c>
      <c r="L99" s="869">
        <f t="shared" si="18"/>
        <v>340.36152802919003</v>
      </c>
      <c r="M99" s="869"/>
      <c r="N99" s="874">
        <v>51.723153399799671</v>
      </c>
      <c r="O99" s="871" t="s">
        <v>121</v>
      </c>
      <c r="P99" s="872" t="s">
        <v>865</v>
      </c>
      <c r="Q99" s="873">
        <f>((219.1+2*50)/1000)*3.14*495.46+((219.1+2*50+2*3)/1000)*3.14*100.37</f>
        <v>598.8971392200001</v>
      </c>
      <c r="R99" s="860">
        <v>0.5</v>
      </c>
      <c r="S99" s="860">
        <v>1.1499999999999999</v>
      </c>
      <c r="T99" s="11">
        <v>1.03</v>
      </c>
    </row>
    <row r="100" spans="1:20">
      <c r="A100" s="853"/>
      <c r="B100" s="860" t="s">
        <v>122</v>
      </c>
      <c r="C100" s="861">
        <v>50</v>
      </c>
      <c r="D100" s="862">
        <f>((273+2*50)/1000)*3.14*495.46</f>
        <v>580.2926612</v>
      </c>
      <c r="E100" s="860">
        <v>0.5</v>
      </c>
      <c r="F100" s="860">
        <v>1.1499999999999999</v>
      </c>
      <c r="G100" s="860">
        <v>1.03</v>
      </c>
      <c r="H100" s="860">
        <v>5.67</v>
      </c>
      <c r="I100" s="866">
        <f t="shared" si="17"/>
        <v>349.51842859569996</v>
      </c>
      <c r="J100" s="867"/>
      <c r="K100" s="868">
        <f>((250+2*50)/1000)*3.14*43</f>
        <v>47.256999999999998</v>
      </c>
      <c r="L100" s="869">
        <f t="shared" si="18"/>
        <v>396.77542859569996</v>
      </c>
      <c r="M100" s="869"/>
      <c r="N100" s="874">
        <v>51.670519661284914</v>
      </c>
      <c r="O100" s="871" t="s">
        <v>122</v>
      </c>
      <c r="P100" s="872" t="s">
        <v>865</v>
      </c>
      <c r="Q100" s="873">
        <f>((273+2*50)/1000)*3.14*495.46+((273+2*50+2*3)/1000)*3.14*100.37</f>
        <v>699.73898340000005</v>
      </c>
      <c r="R100" s="860">
        <v>0.5</v>
      </c>
      <c r="S100" s="860">
        <v>1.1499999999999999</v>
      </c>
      <c r="T100" s="11">
        <v>1.03</v>
      </c>
    </row>
    <row r="101" spans="1:20">
      <c r="A101" s="853"/>
      <c r="B101" s="860" t="s">
        <v>156</v>
      </c>
      <c r="C101" s="861">
        <v>50</v>
      </c>
      <c r="D101" s="862">
        <f>((323.9+2*50)/1000)*3.14*495.46</f>
        <v>659.4800511599999</v>
      </c>
      <c r="E101" s="860">
        <v>0.5</v>
      </c>
      <c r="F101" s="860">
        <v>1.1499999999999999</v>
      </c>
      <c r="G101" s="860">
        <v>1.03</v>
      </c>
      <c r="H101" s="860">
        <v>5.67</v>
      </c>
      <c r="I101" s="866">
        <f t="shared" si="17"/>
        <v>396.41716029950993</v>
      </c>
      <c r="J101" s="875"/>
      <c r="K101" s="876">
        <f>((300+2*50)/1000)*3.14*43</f>
        <v>54.00800000000001</v>
      </c>
      <c r="L101" s="869">
        <f t="shared" si="18"/>
        <v>450.42516029950991</v>
      </c>
      <c r="M101" s="869"/>
      <c r="N101" s="874">
        <v>51.63564611755001</v>
      </c>
      <c r="O101" s="871" t="s">
        <v>156</v>
      </c>
      <c r="P101" s="872" t="s">
        <v>865</v>
      </c>
      <c r="Q101" s="873">
        <f>((323.9+2*50)/1000)*3.14*495.46+((323.9+2*50+2*3)/1000)*3.14*100.37</f>
        <v>794.9681089799999</v>
      </c>
      <c r="R101" s="860">
        <v>0.5</v>
      </c>
      <c r="S101" s="860">
        <v>1.1499999999999999</v>
      </c>
      <c r="T101" s="11">
        <v>1.03</v>
      </c>
    </row>
    <row r="102" spans="1:20">
      <c r="A102" s="853"/>
      <c r="B102" s="860" t="s">
        <v>158</v>
      </c>
      <c r="C102" s="861">
        <v>50</v>
      </c>
      <c r="D102" s="862">
        <f>((355.6+2*50)/1000)*3.14*495.46</f>
        <v>708.79714864000005</v>
      </c>
      <c r="E102" s="860">
        <v>0.5</v>
      </c>
      <c r="F102" s="860">
        <v>1.1499999999999999</v>
      </c>
      <c r="G102" s="860">
        <v>1.03</v>
      </c>
      <c r="H102" s="860">
        <v>5.67</v>
      </c>
      <c r="I102" s="866">
        <f>(((D102*E102)*F102)+H102)*G102</f>
        <v>425.62521128204003</v>
      </c>
      <c r="J102" s="875"/>
      <c r="K102" s="876">
        <v>62</v>
      </c>
      <c r="L102" s="869">
        <f>I102+K102</f>
        <v>487.62521128204003</v>
      </c>
      <c r="M102" s="869"/>
      <c r="N102" s="870"/>
      <c r="O102" s="871" t="s">
        <v>158</v>
      </c>
      <c r="P102" s="872" t="s">
        <v>865</v>
      </c>
      <c r="Q102" s="873">
        <f>((355.6+2*50)/1000)*3.14*495.46+((355.6+2*50+2*3)/1000)*3.14*100.37</f>
        <v>854.2758355200001</v>
      </c>
      <c r="R102" s="860">
        <v>0.5</v>
      </c>
      <c r="S102" s="860">
        <v>1.1499999999999999</v>
      </c>
      <c r="T102" s="11">
        <v>1.03</v>
      </c>
    </row>
    <row r="103" spans="1:20">
      <c r="A103" s="853"/>
      <c r="B103" s="860" t="s">
        <v>176</v>
      </c>
      <c r="C103" s="861">
        <v>50</v>
      </c>
      <c r="D103" s="862">
        <f>((406.4+2*50)/1000)*3.14*495.46</f>
        <v>787.82896415999994</v>
      </c>
      <c r="E103" s="860">
        <v>0.5</v>
      </c>
      <c r="F103" s="860">
        <v>1.1499999999999999</v>
      </c>
      <c r="G103" s="860">
        <v>1.03</v>
      </c>
      <c r="H103" s="860">
        <v>7.67</v>
      </c>
      <c r="I103" s="866">
        <f>(((D103*E103)*F103)+H103)*G103</f>
        <v>474.49180402375993</v>
      </c>
      <c r="J103" s="875"/>
      <c r="K103" s="876">
        <f>((406.4+2*50)/1000)*3.14*43</f>
        <v>68.374127999999999</v>
      </c>
      <c r="L103" s="869">
        <f>I103+K103</f>
        <v>542.86593202375991</v>
      </c>
      <c r="M103" s="869"/>
      <c r="N103" s="854"/>
      <c r="O103" s="871" t="s">
        <v>176</v>
      </c>
      <c r="P103" s="872" t="s">
        <v>865</v>
      </c>
      <c r="Q103" s="873">
        <f>((406.4+2*50)/1000)*3.14*495.46+((406.4+2*50+2*3)/1000)*3.14*100.37</f>
        <v>949.31787048000001</v>
      </c>
      <c r="R103" s="860">
        <v>0.5</v>
      </c>
      <c r="S103" s="860">
        <v>1.1499999999999999</v>
      </c>
      <c r="T103" s="11">
        <v>1.03</v>
      </c>
    </row>
    <row r="104" spans="1:20">
      <c r="A104" s="853"/>
      <c r="B104" s="860" t="s">
        <v>831</v>
      </c>
      <c r="C104" s="861">
        <v>50</v>
      </c>
      <c r="D104" s="862">
        <f>((455+2*50)/1000)*3.14*495.46</f>
        <v>863.43814200000008</v>
      </c>
      <c r="E104" s="860">
        <v>0.5</v>
      </c>
      <c r="F104" s="860">
        <v>1.1499999999999999</v>
      </c>
      <c r="G104" s="860">
        <v>1.03</v>
      </c>
      <c r="H104" s="860">
        <v>7.67</v>
      </c>
      <c r="I104" s="866">
        <f>(((D104*E104)*F104)+H104)*G104</f>
        <v>519.27133959950004</v>
      </c>
      <c r="J104" s="875"/>
      <c r="K104" s="876">
        <f>((455+2*50)/1000)*3.14*43</f>
        <v>74.93610000000001</v>
      </c>
      <c r="L104" s="869">
        <f>I104+K104</f>
        <v>594.20743959950005</v>
      </c>
      <c r="M104" s="869"/>
      <c r="N104" s="854"/>
      <c r="O104" s="871" t="s">
        <v>176</v>
      </c>
      <c r="P104" s="872" t="s">
        <v>865</v>
      </c>
      <c r="Q104" s="873">
        <f>((406.4+2*50)/1000)*3.14*495.46+((406.4+2*50+2*3)/1000)*3.14*100.37</f>
        <v>949.31787048000001</v>
      </c>
      <c r="R104" s="860">
        <v>0.5</v>
      </c>
      <c r="S104" s="860">
        <v>1.1499999999999999</v>
      </c>
      <c r="T104" s="11">
        <v>1.03</v>
      </c>
    </row>
    <row r="105" spans="1:20">
      <c r="A105" s="853"/>
      <c r="B105" s="860" t="s">
        <v>178</v>
      </c>
      <c r="C105" s="861">
        <v>50</v>
      </c>
      <c r="D105" s="862">
        <f>((508+2*50)/1000)*3.14*495.46</f>
        <v>945.89259519999996</v>
      </c>
      <c r="E105" s="860">
        <v>0.5</v>
      </c>
      <c r="F105" s="860">
        <v>1.1499999999999999</v>
      </c>
      <c r="G105" s="860">
        <v>1.03</v>
      </c>
      <c r="H105" s="860">
        <v>10.67</v>
      </c>
      <c r="I105" s="866">
        <f>(((D105*E105)*F105)+H105)*G105</f>
        <v>571.19498950719992</v>
      </c>
      <c r="J105" s="875"/>
      <c r="K105" s="876">
        <f>((508+2*50)/1000)*3.14*43</f>
        <v>82.092159999999993</v>
      </c>
      <c r="L105" s="857"/>
      <c r="M105" s="857"/>
      <c r="N105" s="854"/>
      <c r="O105" s="871" t="s">
        <v>178</v>
      </c>
      <c r="P105" s="872" t="s">
        <v>865</v>
      </c>
      <c r="Q105" s="873">
        <f>((508+2*50)/1000)*3.14*495.46+((508+2*50+2*3)/1000)*3.14*100.37</f>
        <v>1139.4019404000001</v>
      </c>
      <c r="R105" s="860">
        <v>0.5</v>
      </c>
      <c r="S105" s="860">
        <v>1.1499999999999999</v>
      </c>
      <c r="T105" s="11">
        <v>1.03</v>
      </c>
    </row>
    <row r="106" spans="1:20">
      <c r="A106" s="853"/>
      <c r="B106" s="860" t="s">
        <v>190</v>
      </c>
      <c r="C106" s="861">
        <v>50</v>
      </c>
      <c r="D106" s="862">
        <f>((610+2*50)/1000)*3.14*495.46</f>
        <v>1104.578524</v>
      </c>
      <c r="E106" s="860">
        <v>0.5</v>
      </c>
      <c r="F106" s="860">
        <v>1.1499999999999999</v>
      </c>
      <c r="G106" s="860">
        <v>1.03</v>
      </c>
      <c r="H106" s="860">
        <v>15.67</v>
      </c>
      <c r="I106" s="866">
        <f>(((D106*E106)*F106)+H106)*G106</f>
        <v>670.32673083899988</v>
      </c>
      <c r="J106" s="875"/>
      <c r="K106" s="876">
        <f>((610+2*50)/1000)*3.14*43</f>
        <v>95.864199999999997</v>
      </c>
      <c r="L106" s="857"/>
      <c r="M106" s="857"/>
      <c r="N106" s="854"/>
      <c r="O106" s="871" t="s">
        <v>190</v>
      </c>
      <c r="P106" s="872" t="s">
        <v>865</v>
      </c>
      <c r="Q106" s="873">
        <f>((610+2*50)/1000)*3.14*495.46+((610+2*50+2*3)/1000)*3.14*100.37</f>
        <v>1330.2343728000001</v>
      </c>
      <c r="R106" s="860">
        <v>0.5</v>
      </c>
      <c r="S106" s="860">
        <v>1.1499999999999999</v>
      </c>
      <c r="T106" s="11">
        <v>1.03</v>
      </c>
    </row>
    <row r="107" spans="1:20">
      <c r="A107" s="853"/>
      <c r="B107" s="853"/>
      <c r="C107" s="854"/>
      <c r="D107" s="855"/>
      <c r="E107" s="853"/>
      <c r="F107" s="853"/>
      <c r="G107" s="853"/>
      <c r="H107" s="853"/>
      <c r="I107" s="850"/>
      <c r="J107" s="850"/>
      <c r="K107" s="851"/>
      <c r="L107" s="857"/>
      <c r="M107" s="857"/>
      <c r="N107" s="854"/>
      <c r="O107" s="853"/>
      <c r="P107" s="853"/>
      <c r="Q107" s="853"/>
      <c r="R107" s="853"/>
      <c r="S107" s="853"/>
    </row>
    <row r="108" spans="1:20">
      <c r="A108" s="853"/>
      <c r="B108" s="847" t="s">
        <v>766</v>
      </c>
      <c r="C108" s="848" t="s">
        <v>792</v>
      </c>
      <c r="D108" s="858" t="s">
        <v>866</v>
      </c>
      <c r="E108" s="853"/>
      <c r="F108" s="853"/>
      <c r="G108" s="853"/>
      <c r="H108" s="853"/>
      <c r="I108" s="856"/>
      <c r="J108" s="856"/>
      <c r="K108" s="851"/>
      <c r="L108" s="857"/>
      <c r="M108" s="857"/>
      <c r="N108" s="854"/>
      <c r="O108" s="847" t="s">
        <v>867</v>
      </c>
      <c r="P108" s="848" t="s">
        <v>792</v>
      </c>
      <c r="Q108" s="859" t="s">
        <v>863</v>
      </c>
      <c r="R108" s="853"/>
      <c r="S108" s="853"/>
      <c r="T108" s="169"/>
    </row>
    <row r="109" spans="1:20" ht="60">
      <c r="A109" s="853"/>
      <c r="B109" s="860" t="s">
        <v>769</v>
      </c>
      <c r="C109" s="861" t="s">
        <v>770</v>
      </c>
      <c r="D109" s="862" t="s">
        <v>771</v>
      </c>
      <c r="E109" s="860" t="s">
        <v>613</v>
      </c>
      <c r="F109" s="860" t="s">
        <v>772</v>
      </c>
      <c r="G109" s="860" t="s">
        <v>773</v>
      </c>
      <c r="H109" s="860" t="s">
        <v>774</v>
      </c>
      <c r="I109" s="863" t="s">
        <v>771</v>
      </c>
      <c r="J109" s="863"/>
      <c r="K109" s="864" t="s">
        <v>775</v>
      </c>
      <c r="L109" s="857" t="s">
        <v>821</v>
      </c>
      <c r="M109" s="857"/>
      <c r="N109" s="865" t="s">
        <v>864</v>
      </c>
      <c r="O109" s="860" t="s">
        <v>769</v>
      </c>
      <c r="P109" s="861" t="s">
        <v>770</v>
      </c>
      <c r="Q109" s="862" t="s">
        <v>771</v>
      </c>
      <c r="R109" s="860" t="s">
        <v>613</v>
      </c>
      <c r="S109" s="860" t="s">
        <v>772</v>
      </c>
      <c r="T109" s="11" t="s">
        <v>773</v>
      </c>
    </row>
    <row r="110" spans="1:20">
      <c r="A110" s="853"/>
      <c r="B110" s="860" t="s">
        <v>47</v>
      </c>
      <c r="C110" s="861">
        <v>10</v>
      </c>
      <c r="D110" s="862">
        <v>15.64</v>
      </c>
      <c r="E110" s="860">
        <v>0.5</v>
      </c>
      <c r="F110" s="860">
        <v>1.1000000000000001</v>
      </c>
      <c r="G110" s="860">
        <v>1.03</v>
      </c>
      <c r="H110" s="860">
        <v>1.01</v>
      </c>
      <c r="I110" s="866">
        <f>(((D110*E110)*F110)+H110)*G110</f>
        <v>9.9003600000000009</v>
      </c>
      <c r="J110" s="867"/>
      <c r="K110" s="868">
        <v>21</v>
      </c>
      <c r="L110" s="869">
        <f>I110+K110</f>
        <v>30.900359999999999</v>
      </c>
      <c r="M110" s="869"/>
      <c r="N110" s="874">
        <f t="shared" ref="N110:N123" si="19">N88*2</f>
        <v>18.399999999999999</v>
      </c>
      <c r="O110" s="871" t="s">
        <v>47</v>
      </c>
      <c r="P110" s="872">
        <v>18.5</v>
      </c>
      <c r="Q110" s="873">
        <v>34.200000000000003</v>
      </c>
      <c r="R110" s="860">
        <v>0.5</v>
      </c>
      <c r="S110" s="860">
        <v>1.1000000000000001</v>
      </c>
      <c r="T110" s="11">
        <v>1.03</v>
      </c>
    </row>
    <row r="111" spans="1:20">
      <c r="A111" s="853"/>
      <c r="B111" s="860" t="s">
        <v>49</v>
      </c>
      <c r="C111" s="861">
        <v>15</v>
      </c>
      <c r="D111" s="862">
        <v>22.34</v>
      </c>
      <c r="E111" s="860">
        <v>0.5</v>
      </c>
      <c r="F111" s="860">
        <v>1.1000000000000001</v>
      </c>
      <c r="G111" s="860">
        <v>1.03</v>
      </c>
      <c r="H111" s="860">
        <v>1.01</v>
      </c>
      <c r="I111" s="866">
        <f t="shared" ref="I111:I123" si="20">(((D111*E111)*F111)+H111)*G111</f>
        <v>13.695910000000001</v>
      </c>
      <c r="J111" s="867"/>
      <c r="K111" s="868">
        <v>21</v>
      </c>
      <c r="L111" s="869">
        <f t="shared" ref="L111:L123" si="21">I111+K111</f>
        <v>34.695909999999998</v>
      </c>
      <c r="M111" s="869"/>
      <c r="N111" s="874">
        <f t="shared" si="19"/>
        <v>18.600000000000001</v>
      </c>
      <c r="O111" s="871" t="s">
        <v>49</v>
      </c>
      <c r="P111" s="872">
        <v>19</v>
      </c>
      <c r="Q111" s="873">
        <v>37.520000000000003</v>
      </c>
      <c r="R111" s="860">
        <v>0.5</v>
      </c>
      <c r="S111" s="860">
        <v>1.1000000000000001</v>
      </c>
      <c r="T111" s="11">
        <v>1.03</v>
      </c>
    </row>
    <row r="112" spans="1:20">
      <c r="A112" s="853"/>
      <c r="B112" s="860" t="s">
        <v>51</v>
      </c>
      <c r="C112" s="861">
        <v>15</v>
      </c>
      <c r="D112" s="862">
        <v>25.89</v>
      </c>
      <c r="E112" s="860">
        <v>0.5</v>
      </c>
      <c r="F112" s="860">
        <v>1.1000000000000001</v>
      </c>
      <c r="G112" s="860">
        <v>1.03</v>
      </c>
      <c r="H112" s="860">
        <v>1.4</v>
      </c>
      <c r="I112" s="866">
        <f t="shared" si="20"/>
        <v>16.108685000000001</v>
      </c>
      <c r="J112" s="867"/>
      <c r="K112" s="868">
        <v>21</v>
      </c>
      <c r="L112" s="869">
        <f t="shared" si="21"/>
        <v>37.108685000000001</v>
      </c>
      <c r="M112" s="869"/>
      <c r="N112" s="874">
        <f t="shared" si="19"/>
        <v>27.8</v>
      </c>
      <c r="O112" s="871" t="s">
        <v>51</v>
      </c>
      <c r="P112" s="872">
        <v>35</v>
      </c>
      <c r="Q112" s="873">
        <v>89.34</v>
      </c>
      <c r="R112" s="860">
        <v>0.5</v>
      </c>
      <c r="S112" s="860">
        <v>1.1000000000000001</v>
      </c>
      <c r="T112" s="11">
        <v>1.03</v>
      </c>
    </row>
    <row r="113" spans="1:20">
      <c r="A113" s="853"/>
      <c r="B113" s="860" t="s">
        <v>53</v>
      </c>
      <c r="C113" s="861">
        <v>15</v>
      </c>
      <c r="D113" s="862">
        <v>29.21</v>
      </c>
      <c r="E113" s="860">
        <v>0.5</v>
      </c>
      <c r="F113" s="860">
        <v>1.1000000000000001</v>
      </c>
      <c r="G113" s="860">
        <v>1.03</v>
      </c>
      <c r="H113" s="860">
        <v>1.4</v>
      </c>
      <c r="I113" s="866">
        <f t="shared" si="20"/>
        <v>17.989464999999999</v>
      </c>
      <c r="J113" s="867"/>
      <c r="K113" s="868">
        <v>21</v>
      </c>
      <c r="L113" s="869">
        <f t="shared" si="21"/>
        <v>38.989464999999996</v>
      </c>
      <c r="M113" s="869"/>
      <c r="N113" s="874">
        <f t="shared" si="19"/>
        <v>33.799999999999997</v>
      </c>
      <c r="O113" s="871" t="s">
        <v>53</v>
      </c>
      <c r="P113" s="872">
        <v>36.5</v>
      </c>
      <c r="Q113" s="873">
        <v>111.07</v>
      </c>
      <c r="R113" s="860">
        <v>0.5</v>
      </c>
      <c r="S113" s="860">
        <v>1.1000000000000001</v>
      </c>
      <c r="T113" s="11">
        <v>1.03</v>
      </c>
    </row>
    <row r="114" spans="1:20">
      <c r="A114" s="853"/>
      <c r="B114" s="860" t="s">
        <v>55</v>
      </c>
      <c r="C114" s="861">
        <v>20</v>
      </c>
      <c r="D114" s="862">
        <v>54.87</v>
      </c>
      <c r="E114" s="860">
        <v>0.5</v>
      </c>
      <c r="F114" s="860">
        <v>1.1000000000000001</v>
      </c>
      <c r="G114" s="860">
        <v>1.03</v>
      </c>
      <c r="H114" s="860">
        <v>1.69</v>
      </c>
      <c r="I114" s="866">
        <f t="shared" si="20"/>
        <v>32.824555000000004</v>
      </c>
      <c r="J114" s="867"/>
      <c r="K114" s="868">
        <v>21</v>
      </c>
      <c r="L114" s="869">
        <f t="shared" si="21"/>
        <v>53.824555000000004</v>
      </c>
      <c r="M114" s="869"/>
      <c r="N114" s="874">
        <f t="shared" si="19"/>
        <v>39.200000000000003</v>
      </c>
      <c r="O114" s="871" t="s">
        <v>55</v>
      </c>
      <c r="P114" s="872">
        <v>39.5</v>
      </c>
      <c r="Q114" s="873">
        <v>166.04</v>
      </c>
      <c r="R114" s="860">
        <v>0.5</v>
      </c>
      <c r="S114" s="860">
        <v>1.1000000000000001</v>
      </c>
      <c r="T114" s="11">
        <v>1.03</v>
      </c>
    </row>
    <row r="115" spans="1:20">
      <c r="A115" s="853"/>
      <c r="B115" s="860" t="s">
        <v>57</v>
      </c>
      <c r="C115" s="861">
        <v>25</v>
      </c>
      <c r="D115" s="862">
        <v>97.09</v>
      </c>
      <c r="E115" s="860">
        <v>0.5</v>
      </c>
      <c r="F115" s="860">
        <v>1.1499999999999999</v>
      </c>
      <c r="G115" s="860">
        <v>1.03</v>
      </c>
      <c r="H115" s="860">
        <v>2.0499999999999998</v>
      </c>
      <c r="I115" s="866">
        <f t="shared" si="20"/>
        <v>59.613052499999995</v>
      </c>
      <c r="J115" s="867"/>
      <c r="K115" s="868">
        <v>21</v>
      </c>
      <c r="L115" s="869">
        <f t="shared" si="21"/>
        <v>80.613052499999995</v>
      </c>
      <c r="M115" s="869"/>
      <c r="N115" s="874">
        <f t="shared" si="19"/>
        <v>56</v>
      </c>
      <c r="O115" s="871" t="s">
        <v>57</v>
      </c>
      <c r="P115" s="872" t="s">
        <v>868</v>
      </c>
      <c r="Q115" s="873">
        <f>((60.3+2*50)/1000)*3.14*495.46+((60.3+2*50+2*6)/1000)*3.14*125.8</f>
        <v>317.44639492000005</v>
      </c>
      <c r="R115" s="860">
        <v>0.5</v>
      </c>
      <c r="S115" s="860">
        <v>1.1499999999999999</v>
      </c>
      <c r="T115" s="11">
        <v>1.03</v>
      </c>
    </row>
    <row r="116" spans="1:20">
      <c r="A116" s="853"/>
      <c r="B116" s="860" t="s">
        <v>59</v>
      </c>
      <c r="C116" s="861">
        <v>30</v>
      </c>
      <c r="D116" s="862">
        <v>127.29</v>
      </c>
      <c r="E116" s="860">
        <v>0.5</v>
      </c>
      <c r="F116" s="860">
        <v>1.1499999999999999</v>
      </c>
      <c r="G116" s="860">
        <v>1.03</v>
      </c>
      <c r="H116" s="860">
        <v>2.59</v>
      </c>
      <c r="I116" s="866">
        <f t="shared" si="20"/>
        <v>78.055202500000007</v>
      </c>
      <c r="J116" s="867"/>
      <c r="K116" s="868">
        <v>21</v>
      </c>
      <c r="L116" s="869">
        <f t="shared" si="21"/>
        <v>99.055202500000007</v>
      </c>
      <c r="M116" s="869"/>
      <c r="N116" s="874">
        <f t="shared" si="19"/>
        <v>72.400000000000006</v>
      </c>
      <c r="O116" s="871" t="s">
        <v>59</v>
      </c>
      <c r="P116" s="872" t="s">
        <v>869</v>
      </c>
      <c r="Q116" s="873">
        <f>((76.1+2*50)/1000)*3.14*495.46+((76.1+2*50+2*25)/1000)*3.14*270</f>
        <v>465.65416884000001</v>
      </c>
      <c r="R116" s="860">
        <v>0.5</v>
      </c>
      <c r="S116" s="860">
        <v>1.1499999999999999</v>
      </c>
      <c r="T116" s="11">
        <v>1.03</v>
      </c>
    </row>
    <row r="117" spans="1:20">
      <c r="A117" s="853"/>
      <c r="B117" s="860" t="s">
        <v>60</v>
      </c>
      <c r="C117" s="861">
        <v>40</v>
      </c>
      <c r="D117" s="862">
        <v>191.27</v>
      </c>
      <c r="E117" s="860">
        <v>0.5</v>
      </c>
      <c r="F117" s="860">
        <v>1.1499999999999999</v>
      </c>
      <c r="G117" s="860">
        <v>1.03</v>
      </c>
      <c r="H117" s="860">
        <v>3.14</v>
      </c>
      <c r="I117" s="866">
        <f t="shared" si="20"/>
        <v>116.5138575</v>
      </c>
      <c r="J117" s="867"/>
      <c r="K117" s="868">
        <v>26</v>
      </c>
      <c r="L117" s="869">
        <f t="shared" si="21"/>
        <v>142.5138575</v>
      </c>
      <c r="M117" s="869"/>
      <c r="N117" s="874">
        <f t="shared" si="19"/>
        <v>85</v>
      </c>
      <c r="O117" s="871" t="s">
        <v>60</v>
      </c>
      <c r="P117" s="872" t="s">
        <v>870</v>
      </c>
      <c r="Q117" s="873">
        <f>((88.9+2*50)/1000)*3.14*495.46+((88.9+2*50+2*32)/1000)*3.14*325.8</f>
        <v>552.59985196000002</v>
      </c>
      <c r="R117" s="860">
        <v>0.5</v>
      </c>
      <c r="S117" s="860">
        <v>1.1499999999999999</v>
      </c>
      <c r="T117" s="11">
        <v>1.03</v>
      </c>
    </row>
    <row r="118" spans="1:20">
      <c r="A118" s="853"/>
      <c r="B118" s="860" t="s">
        <v>62</v>
      </c>
      <c r="C118" s="861">
        <v>50</v>
      </c>
      <c r="D118" s="862">
        <f>((114.3+2*50)/1000)*3.14*471.87</f>
        <v>317.52226674000008</v>
      </c>
      <c r="E118" s="860">
        <v>0.5</v>
      </c>
      <c r="F118" s="860">
        <v>1.1499999999999999</v>
      </c>
      <c r="G118" s="860">
        <v>1.03</v>
      </c>
      <c r="H118" s="860">
        <v>3.86</v>
      </c>
      <c r="I118" s="866">
        <f t="shared" si="20"/>
        <v>192.02836247676504</v>
      </c>
      <c r="J118" s="867"/>
      <c r="K118" s="868">
        <v>26</v>
      </c>
      <c r="L118" s="869">
        <f t="shared" si="21"/>
        <v>218.02836247676504</v>
      </c>
      <c r="M118" s="869"/>
      <c r="N118" s="874">
        <f t="shared" si="19"/>
        <v>103.8</v>
      </c>
      <c r="O118" s="871" t="s">
        <v>62</v>
      </c>
      <c r="P118" s="872" t="s">
        <v>871</v>
      </c>
      <c r="Q118" s="873">
        <f>((114.3+2*50)/1000)*3.14*495.46+((114.3+2*50+2*50)/1000)*3.14*495.46+((114.3+4*50+2*6)/1000)*3.14*125.8</f>
        <v>951.25890544000015</v>
      </c>
      <c r="R118" s="860">
        <v>0.5</v>
      </c>
      <c r="S118" s="860">
        <v>1.1499999999999999</v>
      </c>
      <c r="T118" s="11">
        <v>1.03</v>
      </c>
    </row>
    <row r="119" spans="1:20">
      <c r="A119" s="853"/>
      <c r="B119" s="860" t="s">
        <v>63</v>
      </c>
      <c r="C119" s="861">
        <v>50</v>
      </c>
      <c r="D119" s="862">
        <f>((139.7+2*50)/1000)*3.14*471.87</f>
        <v>355.15673046000001</v>
      </c>
      <c r="E119" s="860">
        <v>0.5</v>
      </c>
      <c r="F119" s="860">
        <v>1.1499999999999999</v>
      </c>
      <c r="G119" s="860">
        <v>1.03</v>
      </c>
      <c r="H119" s="860">
        <v>4.7699999999999996</v>
      </c>
      <c r="I119" s="866">
        <f t="shared" si="20"/>
        <v>215.254673614935</v>
      </c>
      <c r="J119" s="867"/>
      <c r="K119" s="868">
        <v>28</v>
      </c>
      <c r="L119" s="869">
        <f t="shared" si="21"/>
        <v>243.254673614935</v>
      </c>
      <c r="M119" s="869"/>
      <c r="N119" s="874">
        <f t="shared" si="19"/>
        <v>103.8</v>
      </c>
      <c r="O119" s="871" t="s">
        <v>63</v>
      </c>
      <c r="P119" s="872" t="s">
        <v>871</v>
      </c>
      <c r="Q119" s="873">
        <f>((139.7+2*50)/1000)*3.14*495.46+((139.7+2*100)/1000)*3.14*495.46+((139.7+4*50+2*6)/1000)*3.14*125.8</f>
        <v>1040.32402576</v>
      </c>
      <c r="R119" s="860">
        <v>0.5</v>
      </c>
      <c r="S119" s="860">
        <v>1.1499999999999999</v>
      </c>
      <c r="T119" s="11">
        <v>1.03</v>
      </c>
    </row>
    <row r="120" spans="1:20">
      <c r="A120" s="853"/>
      <c r="B120" s="860" t="s">
        <v>66</v>
      </c>
      <c r="C120" s="861">
        <v>50</v>
      </c>
      <c r="D120" s="862">
        <f>((168.3+2*50)/1000)*3.14*471.87</f>
        <v>397.5325439400001</v>
      </c>
      <c r="E120" s="860">
        <v>0.5</v>
      </c>
      <c r="F120" s="860">
        <v>1.1499999999999999</v>
      </c>
      <c r="G120" s="860">
        <v>1.03</v>
      </c>
      <c r="H120" s="860">
        <v>5.67</v>
      </c>
      <c r="I120" s="866">
        <f t="shared" si="20"/>
        <v>241.27874914846501</v>
      </c>
      <c r="J120" s="867"/>
      <c r="K120" s="868">
        <f>((150+2*50)/1000)*3.14*43</f>
        <v>33.755000000000003</v>
      </c>
      <c r="L120" s="869">
        <f t="shared" si="21"/>
        <v>275.03374914846501</v>
      </c>
      <c r="M120" s="869"/>
      <c r="N120" s="874">
        <f t="shared" si="19"/>
        <v>103.63592128647207</v>
      </c>
      <c r="O120" s="871" t="s">
        <v>66</v>
      </c>
      <c r="P120" s="872" t="s">
        <v>871</v>
      </c>
      <c r="Q120" s="873">
        <f>((168.3+2*50)/1000)*3.14*495.46+((168.3+2*100)/1000)*3.14*495.46+((168.3+4*50+2*6)/1000)*3.14*125.8</f>
        <v>1140.6099486400001</v>
      </c>
      <c r="R120" s="860">
        <v>0.5</v>
      </c>
      <c r="S120" s="860">
        <v>1.1499999999999999</v>
      </c>
      <c r="T120" s="11">
        <v>1.03</v>
      </c>
    </row>
    <row r="121" spans="1:20">
      <c r="A121" s="853"/>
      <c r="B121" s="860" t="s">
        <v>121</v>
      </c>
      <c r="C121" s="861">
        <v>50</v>
      </c>
      <c r="D121" s="862">
        <f>((219.1+2*50)/1000)*3.14*471.87</f>
        <v>472.80147138000007</v>
      </c>
      <c r="E121" s="860">
        <v>0.5</v>
      </c>
      <c r="F121" s="860">
        <v>1.1499999999999999</v>
      </c>
      <c r="G121" s="860">
        <v>1.03</v>
      </c>
      <c r="H121" s="860">
        <v>5.67</v>
      </c>
      <c r="I121" s="866">
        <f t="shared" si="20"/>
        <v>285.85677142480506</v>
      </c>
      <c r="J121" s="867"/>
      <c r="K121" s="868">
        <f>((200+2*50)/1000)*3.14*43</f>
        <v>40.506</v>
      </c>
      <c r="L121" s="869">
        <f t="shared" si="21"/>
        <v>326.36277142480503</v>
      </c>
      <c r="M121" s="869"/>
      <c r="N121" s="874">
        <f t="shared" si="19"/>
        <v>103.44630679959934</v>
      </c>
      <c r="O121" s="871" t="s">
        <v>121</v>
      </c>
      <c r="P121" s="872" t="s">
        <v>871</v>
      </c>
      <c r="Q121" s="873">
        <f>((219.1+2*50)/1000)*3.14*495.46+((219.1+2*100)/1000)*3.14*495.46+((219.1+4*50+2*6)/1000)*3.14*125.8</f>
        <v>1318.7401892799999</v>
      </c>
      <c r="R121" s="860">
        <v>0.5</v>
      </c>
      <c r="S121" s="860">
        <v>1.1499999999999999</v>
      </c>
      <c r="T121" s="11">
        <v>1.03</v>
      </c>
    </row>
    <row r="122" spans="1:20">
      <c r="A122" s="853"/>
      <c r="B122" s="860" t="s">
        <v>122</v>
      </c>
      <c r="C122" s="861">
        <v>50</v>
      </c>
      <c r="D122" s="862">
        <f>((273+2*50)/1000)*3.14*471.87</f>
        <v>552.66358140000011</v>
      </c>
      <c r="E122" s="860">
        <v>0.5</v>
      </c>
      <c r="F122" s="860">
        <v>1.1499999999999999</v>
      </c>
      <c r="G122" s="860">
        <v>1.03</v>
      </c>
      <c r="H122" s="860">
        <v>5.67</v>
      </c>
      <c r="I122" s="866">
        <f t="shared" si="20"/>
        <v>333.15510608415008</v>
      </c>
      <c r="J122" s="867"/>
      <c r="K122" s="868">
        <f>((250+2*50)/1000)*3.14*43</f>
        <v>47.256999999999998</v>
      </c>
      <c r="L122" s="869">
        <f t="shared" si="21"/>
        <v>380.41210608415008</v>
      </c>
      <c r="M122" s="869"/>
      <c r="N122" s="874">
        <f t="shared" si="19"/>
        <v>103.34103932256983</v>
      </c>
      <c r="O122" s="871" t="s">
        <v>122</v>
      </c>
      <c r="P122" s="872" t="s">
        <v>871</v>
      </c>
      <c r="Q122" s="873">
        <f>((273+2*50)/1000)*3.14*495.46+((273+2*100)/1000)*3.14*495.46+((273+4*50+2*6)/1000)*3.14*125.8</f>
        <v>1507.7405824</v>
      </c>
      <c r="R122" s="860">
        <v>0.5</v>
      </c>
      <c r="S122" s="860">
        <v>1.1499999999999999</v>
      </c>
      <c r="T122" s="11">
        <v>1.03</v>
      </c>
    </row>
    <row r="123" spans="1:20">
      <c r="A123" s="853"/>
      <c r="B123" s="860" t="s">
        <v>156</v>
      </c>
      <c r="C123" s="861">
        <v>50</v>
      </c>
      <c r="D123" s="862">
        <f>((323.9+2*50)/1000)*3.14*471.87</f>
        <v>628.08067601999994</v>
      </c>
      <c r="E123" s="860">
        <v>0.5</v>
      </c>
      <c r="F123" s="860">
        <v>1.1499999999999999</v>
      </c>
      <c r="G123" s="860">
        <v>1.03</v>
      </c>
      <c r="H123" s="860">
        <v>5.67</v>
      </c>
      <c r="I123" s="866">
        <f t="shared" si="20"/>
        <v>377.82088037284495</v>
      </c>
      <c r="J123" s="875"/>
      <c r="K123" s="876">
        <f>((300+2*50)/1000)*3.14*43</f>
        <v>54.00800000000001</v>
      </c>
      <c r="L123" s="869">
        <f t="shared" si="21"/>
        <v>431.82888037284499</v>
      </c>
      <c r="M123" s="869"/>
      <c r="N123" s="874">
        <f t="shared" si="19"/>
        <v>103.27129223510002</v>
      </c>
      <c r="O123" s="871" t="s">
        <v>156</v>
      </c>
      <c r="P123" s="872" t="s">
        <v>871</v>
      </c>
      <c r="Q123" s="873">
        <f>((323.9+2*50)/1000)*3.14*495.46+((323.9+2*100)/1000)*3.14*495.46+((323.9+4*50+2*6)/1000)*3.14*125.8</f>
        <v>1686.2214731200002</v>
      </c>
      <c r="R123" s="860">
        <v>0.5</v>
      </c>
      <c r="S123" s="860">
        <v>1.1499999999999999</v>
      </c>
      <c r="T123" s="11">
        <v>1.03</v>
      </c>
    </row>
    <row r="124" spans="1:20">
      <c r="A124" s="853"/>
      <c r="B124" s="860" t="s">
        <v>158</v>
      </c>
      <c r="C124" s="861">
        <v>50</v>
      </c>
      <c r="D124" s="862">
        <f>((355.6+2*50)/1000)*3.14*471.87</f>
        <v>675.04967208000005</v>
      </c>
      <c r="E124" s="860">
        <v>0.5</v>
      </c>
      <c r="F124" s="860">
        <v>1.1499999999999999</v>
      </c>
      <c r="G124" s="860">
        <v>1.03</v>
      </c>
      <c r="H124" s="860">
        <v>5.67</v>
      </c>
      <c r="I124" s="866">
        <f>(((D124*E124)*F124)+H124)*G124</f>
        <v>405.63826828938005</v>
      </c>
      <c r="J124" s="875"/>
      <c r="K124" s="876">
        <v>62</v>
      </c>
      <c r="L124" s="869">
        <f>I124+K124</f>
        <v>467.63826828938005</v>
      </c>
      <c r="M124" s="869"/>
      <c r="N124" s="870"/>
      <c r="O124" s="871" t="s">
        <v>158</v>
      </c>
      <c r="P124" s="872" t="s">
        <v>871</v>
      </c>
      <c r="Q124" s="873">
        <f>((355.6+2*50)/1000)*3.14*495.46+((355.6+2*100)/1000)*3.14*495.46+((355.6+4*50+2*6)/1000)*3.14*125.8</f>
        <v>1797.3775484799999</v>
      </c>
      <c r="R124" s="860">
        <v>0.5</v>
      </c>
      <c r="S124" s="860">
        <v>1.1499999999999999</v>
      </c>
      <c r="T124" s="11">
        <v>1.03</v>
      </c>
    </row>
    <row r="125" spans="1:20">
      <c r="A125" s="853"/>
      <c r="B125" s="860" t="s">
        <v>176</v>
      </c>
      <c r="C125" s="861">
        <v>50</v>
      </c>
      <c r="D125" s="862">
        <f>((406.4+2*50)/1000)*3.14*471.87</f>
        <v>750.31859952000002</v>
      </c>
      <c r="E125" s="860">
        <v>0.5</v>
      </c>
      <c r="F125" s="860">
        <v>1.1499999999999999</v>
      </c>
      <c r="G125" s="860">
        <v>1.03</v>
      </c>
      <c r="H125" s="860">
        <v>5.67</v>
      </c>
      <c r="I125" s="866">
        <f>(((D125*E125)*F125)+H125)*G125</f>
        <v>450.21629056571999</v>
      </c>
      <c r="J125" s="875"/>
      <c r="K125" s="876">
        <f>((406.4+2*50)/1000)*3.14*43</f>
        <v>68.374127999999999</v>
      </c>
      <c r="L125" s="869">
        <f>I125+K125</f>
        <v>518.59041856572003</v>
      </c>
      <c r="M125" s="869"/>
      <c r="N125" s="854"/>
      <c r="O125" s="871" t="s">
        <v>176</v>
      </c>
      <c r="P125" s="872" t="s">
        <v>871</v>
      </c>
      <c r="Q125" s="873">
        <f>((406.4+2*50)/1000)*3.14*495.46+((406.4+2*100)/1000)*3.14*495.46+((406.4+4*50+2*6)/1000)*3.14*125.8</f>
        <v>1975.5077891199996</v>
      </c>
      <c r="R125" s="860">
        <v>0.5</v>
      </c>
      <c r="S125" s="860">
        <v>1.1499999999999999</v>
      </c>
      <c r="T125" s="11">
        <v>1.03</v>
      </c>
    </row>
    <row r="126" spans="1:20">
      <c r="A126" s="853"/>
      <c r="B126" s="853"/>
      <c r="C126" s="854"/>
      <c r="D126" s="855"/>
      <c r="E126" s="853"/>
      <c r="F126" s="853"/>
      <c r="G126" s="853"/>
      <c r="H126" s="853"/>
      <c r="I126" s="850"/>
      <c r="J126" s="850"/>
      <c r="K126" s="851"/>
      <c r="L126" s="869"/>
      <c r="M126" s="869"/>
      <c r="N126" s="854"/>
      <c r="O126" s="871" t="s">
        <v>178</v>
      </c>
      <c r="P126" s="872" t="s">
        <v>871</v>
      </c>
      <c r="Q126" s="873">
        <f>((508+2*50)/1000)*3.14*495.46+((508+2*100)/1000)*3.14*495.46+((508+4*50+2*6)/1000)*3.14*125.8</f>
        <v>2331.7682703999999</v>
      </c>
      <c r="R126" s="860">
        <v>0.5</v>
      </c>
      <c r="S126" s="860">
        <v>1.1499999999999999</v>
      </c>
      <c r="T126" s="11">
        <v>1.03</v>
      </c>
    </row>
    <row r="127" spans="1:20">
      <c r="A127" s="853"/>
      <c r="B127" s="847" t="s">
        <v>766</v>
      </c>
      <c r="C127" s="848" t="s">
        <v>792</v>
      </c>
      <c r="D127" s="858" t="s">
        <v>872</v>
      </c>
      <c r="E127" s="853"/>
      <c r="F127" s="853"/>
      <c r="G127" s="853"/>
      <c r="H127" s="853"/>
      <c r="I127" s="856"/>
      <c r="J127" s="856"/>
      <c r="K127" s="851"/>
      <c r="L127" s="857"/>
      <c r="M127" s="857"/>
      <c r="N127" s="854"/>
      <c r="O127" s="871" t="s">
        <v>190</v>
      </c>
      <c r="P127" s="872" t="s">
        <v>871</v>
      </c>
      <c r="Q127" s="873">
        <f>((610+2*50)/1000)*3.14*495.46+((610+2*100)/1000)*3.14*495.46+((610+4*50+2*6)/1000)*3.14*125.8</f>
        <v>2689.4313520000005</v>
      </c>
      <c r="R127" s="860">
        <v>0.5</v>
      </c>
      <c r="S127" s="860">
        <v>1.1499999999999999</v>
      </c>
      <c r="T127" s="11">
        <v>1.03</v>
      </c>
    </row>
    <row r="128" spans="1:20">
      <c r="A128" s="853"/>
      <c r="B128" s="860" t="s">
        <v>769</v>
      </c>
      <c r="C128" s="861" t="s">
        <v>770</v>
      </c>
      <c r="D128" s="862" t="s">
        <v>771</v>
      </c>
      <c r="E128" s="860" t="s">
        <v>613</v>
      </c>
      <c r="F128" s="860" t="s">
        <v>772</v>
      </c>
      <c r="G128" s="860" t="s">
        <v>773</v>
      </c>
      <c r="H128" s="860" t="s">
        <v>774</v>
      </c>
      <c r="I128" s="863" t="s">
        <v>771</v>
      </c>
      <c r="J128" s="863"/>
      <c r="K128" s="864" t="s">
        <v>775</v>
      </c>
      <c r="L128" s="857" t="s">
        <v>821</v>
      </c>
      <c r="M128" s="857"/>
      <c r="N128" s="854"/>
      <c r="O128" s="853"/>
      <c r="P128" s="853"/>
      <c r="Q128" s="853"/>
      <c r="R128" s="853"/>
      <c r="S128" s="853"/>
    </row>
    <row r="129" spans="1:20">
      <c r="A129" s="853"/>
      <c r="B129" s="860" t="s">
        <v>47</v>
      </c>
      <c r="C129" s="861">
        <v>10</v>
      </c>
      <c r="D129" s="862">
        <v>12.5</v>
      </c>
      <c r="E129" s="860">
        <v>0.5</v>
      </c>
      <c r="F129" s="860">
        <v>1.1000000000000001</v>
      </c>
      <c r="G129" s="860">
        <v>1.03</v>
      </c>
      <c r="H129" s="860">
        <v>1.01</v>
      </c>
      <c r="I129" s="866">
        <f>(((D129*E129)*F129)+H129)*G129</f>
        <v>8.1215500000000009</v>
      </c>
      <c r="J129" s="867"/>
      <c r="K129" s="868">
        <v>21</v>
      </c>
      <c r="L129" s="869">
        <f>I129+K129</f>
        <v>29.121549999999999</v>
      </c>
      <c r="M129" s="869"/>
      <c r="N129" s="854"/>
      <c r="O129" s="853"/>
      <c r="P129" s="853"/>
      <c r="Q129" s="853"/>
      <c r="R129" s="853"/>
      <c r="S129" s="853"/>
    </row>
    <row r="130" spans="1:20">
      <c r="A130" s="853"/>
      <c r="B130" s="860" t="s">
        <v>49</v>
      </c>
      <c r="C130" s="861">
        <v>15</v>
      </c>
      <c r="D130" s="862">
        <v>17.5</v>
      </c>
      <c r="E130" s="860">
        <v>0.5</v>
      </c>
      <c r="F130" s="860">
        <v>1.1000000000000001</v>
      </c>
      <c r="G130" s="860">
        <v>1.03</v>
      </c>
      <c r="H130" s="860">
        <v>1.01</v>
      </c>
      <c r="I130" s="866">
        <f t="shared" ref="I130:I142" si="22">(((D130*E130)*F130)+H130)*G130</f>
        <v>10.954050000000001</v>
      </c>
      <c r="J130" s="867"/>
      <c r="K130" s="868">
        <v>21</v>
      </c>
      <c r="L130" s="869">
        <f t="shared" ref="L130:L142" si="23">I130+K130</f>
        <v>31.954050000000002</v>
      </c>
      <c r="M130" s="869"/>
      <c r="N130" s="854"/>
      <c r="O130" s="847" t="s">
        <v>805</v>
      </c>
      <c r="P130" s="848" t="s">
        <v>873</v>
      </c>
      <c r="Q130" s="858" t="s">
        <v>793</v>
      </c>
      <c r="R130" s="853"/>
      <c r="S130" s="853"/>
      <c r="T130" s="169"/>
    </row>
    <row r="131" spans="1:20">
      <c r="A131" s="853"/>
      <c r="B131" s="860" t="s">
        <v>51</v>
      </c>
      <c r="C131" s="861">
        <v>15</v>
      </c>
      <c r="D131" s="862">
        <v>19.43</v>
      </c>
      <c r="E131" s="860">
        <v>0.5</v>
      </c>
      <c r="F131" s="860">
        <v>1.1000000000000001</v>
      </c>
      <c r="G131" s="860">
        <v>1.03</v>
      </c>
      <c r="H131" s="860">
        <v>1.4</v>
      </c>
      <c r="I131" s="866">
        <f t="shared" si="22"/>
        <v>12.449095000000002</v>
      </c>
      <c r="J131" s="867"/>
      <c r="K131" s="868">
        <v>21</v>
      </c>
      <c r="L131" s="869">
        <f t="shared" si="23"/>
        <v>33.449095</v>
      </c>
      <c r="M131" s="869"/>
      <c r="N131" s="854"/>
      <c r="O131" s="860" t="s">
        <v>769</v>
      </c>
      <c r="P131" s="861" t="s">
        <v>770</v>
      </c>
      <c r="Q131" s="862" t="s">
        <v>771</v>
      </c>
      <c r="R131" s="860" t="s">
        <v>613</v>
      </c>
      <c r="S131" s="860" t="s">
        <v>772</v>
      </c>
      <c r="T131" s="11" t="s">
        <v>773</v>
      </c>
    </row>
    <row r="132" spans="1:20">
      <c r="A132" s="853"/>
      <c r="B132" s="860" t="s">
        <v>53</v>
      </c>
      <c r="C132" s="861">
        <v>15</v>
      </c>
      <c r="D132" s="862">
        <v>22.51</v>
      </c>
      <c r="E132" s="860">
        <v>0.5</v>
      </c>
      <c r="F132" s="860">
        <v>1.1000000000000001</v>
      </c>
      <c r="G132" s="860">
        <v>1.03</v>
      </c>
      <c r="H132" s="860">
        <v>1.4</v>
      </c>
      <c r="I132" s="866">
        <f t="shared" si="22"/>
        <v>14.193915000000002</v>
      </c>
      <c r="J132" s="867"/>
      <c r="K132" s="868">
        <v>21</v>
      </c>
      <c r="L132" s="869">
        <f t="shared" si="23"/>
        <v>35.193915000000004</v>
      </c>
      <c r="M132" s="869"/>
      <c r="N132" s="854"/>
      <c r="O132" s="860" t="s">
        <v>47</v>
      </c>
      <c r="P132" s="861">
        <v>10</v>
      </c>
      <c r="Q132" s="862">
        <v>21.04</v>
      </c>
      <c r="R132" s="860">
        <v>0.9</v>
      </c>
      <c r="S132" s="860">
        <v>1.1000000000000001</v>
      </c>
      <c r="T132" s="11">
        <v>1.03</v>
      </c>
    </row>
    <row r="133" spans="1:20">
      <c r="A133" s="853"/>
      <c r="B133" s="860" t="s">
        <v>55</v>
      </c>
      <c r="C133" s="861">
        <v>20</v>
      </c>
      <c r="D133" s="862">
        <v>40.98</v>
      </c>
      <c r="E133" s="860">
        <v>0.5</v>
      </c>
      <c r="F133" s="860">
        <v>1.1000000000000001</v>
      </c>
      <c r="G133" s="860">
        <v>1.03</v>
      </c>
      <c r="H133" s="860">
        <v>1.69</v>
      </c>
      <c r="I133" s="866">
        <f t="shared" si="22"/>
        <v>24.955870000000004</v>
      </c>
      <c r="J133" s="867"/>
      <c r="K133" s="868">
        <v>21</v>
      </c>
      <c r="L133" s="869">
        <f t="shared" si="23"/>
        <v>45.955870000000004</v>
      </c>
      <c r="M133" s="869"/>
      <c r="N133" s="854"/>
      <c r="O133" s="860" t="s">
        <v>49</v>
      </c>
      <c r="P133" s="861">
        <v>15</v>
      </c>
      <c r="Q133" s="862">
        <v>23.08</v>
      </c>
      <c r="R133" s="860">
        <v>0.9</v>
      </c>
      <c r="S133" s="860">
        <v>1.1000000000000001</v>
      </c>
      <c r="T133" s="11">
        <v>1.03</v>
      </c>
    </row>
    <row r="134" spans="1:20">
      <c r="A134" s="853"/>
      <c r="B134" s="860" t="s">
        <v>57</v>
      </c>
      <c r="C134" s="861">
        <v>25</v>
      </c>
      <c r="D134" s="862">
        <v>73.260000000000005</v>
      </c>
      <c r="E134" s="860">
        <v>0.5</v>
      </c>
      <c r="F134" s="860">
        <v>1.1499999999999999</v>
      </c>
      <c r="G134" s="860">
        <v>1.03</v>
      </c>
      <c r="H134" s="860">
        <v>2.0499999999999998</v>
      </c>
      <c r="I134" s="866">
        <f t="shared" si="22"/>
        <v>45.499734999999994</v>
      </c>
      <c r="J134" s="867"/>
      <c r="K134" s="868">
        <v>21</v>
      </c>
      <c r="L134" s="869">
        <f t="shared" si="23"/>
        <v>66.499734999999987</v>
      </c>
      <c r="M134" s="869"/>
      <c r="N134" s="854"/>
      <c r="O134" s="860" t="s">
        <v>51</v>
      </c>
      <c r="P134" s="861">
        <v>15</v>
      </c>
      <c r="Q134" s="862">
        <v>24.31</v>
      </c>
      <c r="R134" s="860">
        <v>0.9</v>
      </c>
      <c r="S134" s="860">
        <v>1.1000000000000001</v>
      </c>
      <c r="T134" s="11">
        <v>1.03</v>
      </c>
    </row>
    <row r="135" spans="1:20">
      <c r="A135" s="853"/>
      <c r="B135" s="860" t="s">
        <v>59</v>
      </c>
      <c r="C135" s="861">
        <v>30</v>
      </c>
      <c r="D135" s="862">
        <v>110.69</v>
      </c>
      <c r="E135" s="860">
        <v>0.5</v>
      </c>
      <c r="F135" s="860">
        <v>1.1499999999999999</v>
      </c>
      <c r="G135" s="860">
        <v>1.03</v>
      </c>
      <c r="H135" s="860">
        <v>2.59</v>
      </c>
      <c r="I135" s="866">
        <f t="shared" si="22"/>
        <v>68.223852500000007</v>
      </c>
      <c r="J135" s="867"/>
      <c r="K135" s="868">
        <v>21</v>
      </c>
      <c r="L135" s="869">
        <f t="shared" si="23"/>
        <v>89.223852500000007</v>
      </c>
      <c r="M135" s="869"/>
      <c r="N135" s="854"/>
      <c r="O135" s="860" t="s">
        <v>53</v>
      </c>
      <c r="P135" s="861">
        <v>15</v>
      </c>
      <c r="Q135" s="862">
        <v>25.38</v>
      </c>
      <c r="R135" s="860">
        <v>0.9</v>
      </c>
      <c r="S135" s="860">
        <v>1.1000000000000001</v>
      </c>
      <c r="T135" s="11">
        <v>1.03</v>
      </c>
    </row>
    <row r="136" spans="1:20">
      <c r="A136" s="853"/>
      <c r="B136" s="860" t="s">
        <v>60</v>
      </c>
      <c r="C136" s="861">
        <v>40</v>
      </c>
      <c r="D136" s="862">
        <v>166.32</v>
      </c>
      <c r="E136" s="860">
        <v>0.5</v>
      </c>
      <c r="F136" s="860">
        <v>1.1499999999999999</v>
      </c>
      <c r="G136" s="860">
        <v>1.03</v>
      </c>
      <c r="H136" s="860">
        <v>3.14</v>
      </c>
      <c r="I136" s="866">
        <f t="shared" si="22"/>
        <v>101.73721999999999</v>
      </c>
      <c r="J136" s="867"/>
      <c r="K136" s="868">
        <v>26</v>
      </c>
      <c r="L136" s="869">
        <f t="shared" si="23"/>
        <v>127.73721999999999</v>
      </c>
      <c r="M136" s="869"/>
      <c r="N136" s="854"/>
      <c r="O136" s="860" t="s">
        <v>55</v>
      </c>
      <c r="P136" s="861">
        <v>20</v>
      </c>
      <c r="Q136" s="862">
        <v>27.2</v>
      </c>
      <c r="R136" s="860">
        <v>0.9</v>
      </c>
      <c r="S136" s="860">
        <v>1.1000000000000001</v>
      </c>
      <c r="T136" s="11">
        <v>1.03</v>
      </c>
    </row>
    <row r="137" spans="1:20">
      <c r="A137" s="853"/>
      <c r="B137" s="860" t="s">
        <v>62</v>
      </c>
      <c r="C137" s="861">
        <v>50</v>
      </c>
      <c r="D137" s="862">
        <f>((114.3+2*50)/1000)*3.14*367.18</f>
        <v>247.07615636000006</v>
      </c>
      <c r="E137" s="860">
        <v>0.5</v>
      </c>
      <c r="F137" s="860">
        <v>1.1499999999999999</v>
      </c>
      <c r="G137" s="860">
        <v>1.03</v>
      </c>
      <c r="H137" s="860">
        <v>3.86</v>
      </c>
      <c r="I137" s="866">
        <f t="shared" si="22"/>
        <v>150.30665360421006</v>
      </c>
      <c r="J137" s="867"/>
      <c r="K137" s="868">
        <v>26</v>
      </c>
      <c r="L137" s="869">
        <f t="shared" si="23"/>
        <v>176.30665360421006</v>
      </c>
      <c r="M137" s="869"/>
      <c r="N137" s="854"/>
      <c r="O137" s="860" t="s">
        <v>57</v>
      </c>
      <c r="P137" s="861">
        <v>25</v>
      </c>
      <c r="Q137" s="862">
        <v>37.29</v>
      </c>
      <c r="R137" s="860">
        <v>0.9</v>
      </c>
      <c r="S137" s="860">
        <v>1.1499999999999999</v>
      </c>
      <c r="T137" s="11">
        <v>1.03</v>
      </c>
    </row>
    <row r="138" spans="1:20">
      <c r="A138" s="853"/>
      <c r="B138" s="860" t="s">
        <v>63</v>
      </c>
      <c r="C138" s="861">
        <v>50</v>
      </c>
      <c r="D138" s="862">
        <f>((139.7+2*50)/1000)*3.14*367.18</f>
        <v>276.36096444000003</v>
      </c>
      <c r="E138" s="860">
        <v>0.5</v>
      </c>
      <c r="F138" s="860">
        <v>1.1499999999999999</v>
      </c>
      <c r="G138" s="860">
        <v>1.03</v>
      </c>
      <c r="H138" s="860">
        <v>4.7699999999999996</v>
      </c>
      <c r="I138" s="866">
        <f t="shared" si="22"/>
        <v>168.58788118959004</v>
      </c>
      <c r="J138" s="867"/>
      <c r="K138" s="868">
        <v>28</v>
      </c>
      <c r="L138" s="869">
        <f t="shared" si="23"/>
        <v>196.58788118959004</v>
      </c>
      <c r="M138" s="869"/>
      <c r="N138" s="854"/>
      <c r="O138" s="860" t="s">
        <v>59</v>
      </c>
      <c r="P138" s="861">
        <v>30</v>
      </c>
      <c r="Q138" s="862">
        <v>52.31</v>
      </c>
      <c r="R138" s="860">
        <v>0.9</v>
      </c>
      <c r="S138" s="860">
        <v>1.1499999999999999</v>
      </c>
      <c r="T138" s="11">
        <v>1.03</v>
      </c>
    </row>
    <row r="139" spans="1:20">
      <c r="A139" s="853"/>
      <c r="B139" s="860" t="s">
        <v>66</v>
      </c>
      <c r="C139" s="861">
        <v>50</v>
      </c>
      <c r="D139" s="862">
        <f>((168.3+2*50)/1000)*3.14*367.18</f>
        <v>309.33519716000006</v>
      </c>
      <c r="E139" s="860">
        <v>0.5</v>
      </c>
      <c r="F139" s="860">
        <v>1.1499999999999999</v>
      </c>
      <c r="G139" s="860">
        <v>1.03</v>
      </c>
      <c r="H139" s="860">
        <v>5.67</v>
      </c>
      <c r="I139" s="866">
        <f t="shared" si="22"/>
        <v>189.04387051801001</v>
      </c>
      <c r="J139" s="867"/>
      <c r="K139" s="868">
        <f>((150+2*50)/1000)*3.14*43</f>
        <v>33.755000000000003</v>
      </c>
      <c r="L139" s="869">
        <f t="shared" si="23"/>
        <v>222.79887051801001</v>
      </c>
      <c r="M139" s="869"/>
      <c r="N139" s="854"/>
      <c r="O139" s="860" t="s">
        <v>60</v>
      </c>
      <c r="P139" s="861">
        <v>40</v>
      </c>
      <c r="Q139" s="862">
        <v>85.69</v>
      </c>
      <c r="R139" s="860">
        <v>0.9</v>
      </c>
      <c r="S139" s="860">
        <v>1.1499999999999999</v>
      </c>
      <c r="T139" s="11">
        <v>1.03</v>
      </c>
    </row>
    <row r="140" spans="1:20">
      <c r="A140" s="853"/>
      <c r="B140" s="860" t="s">
        <v>121</v>
      </c>
      <c r="C140" s="861">
        <v>50</v>
      </c>
      <c r="D140" s="862">
        <f>((219.1+2*50)/1000)*3.14*367.18</f>
        <v>367.90481332000007</v>
      </c>
      <c r="E140" s="860">
        <v>0.5</v>
      </c>
      <c r="F140" s="860">
        <v>1.1499999999999999</v>
      </c>
      <c r="G140" s="860">
        <v>1.03</v>
      </c>
      <c r="H140" s="860">
        <v>5.67</v>
      </c>
      <c r="I140" s="866">
        <f t="shared" si="22"/>
        <v>223.73172568877001</v>
      </c>
      <c r="J140" s="867"/>
      <c r="K140" s="868">
        <f>((200+2*50)/1000)*3.14*43</f>
        <v>40.506</v>
      </c>
      <c r="L140" s="869">
        <f t="shared" si="23"/>
        <v>264.23772568877001</v>
      </c>
      <c r="M140" s="869"/>
      <c r="N140" s="854"/>
      <c r="O140" s="860" t="s">
        <v>62</v>
      </c>
      <c r="P140" s="861">
        <v>50</v>
      </c>
      <c r="Q140" s="862">
        <v>135</v>
      </c>
      <c r="R140" s="860">
        <v>0.9</v>
      </c>
      <c r="S140" s="860">
        <v>1.1499999999999999</v>
      </c>
      <c r="T140" s="11">
        <v>1.03</v>
      </c>
    </row>
    <row r="141" spans="1:20">
      <c r="A141" s="853"/>
      <c r="B141" s="860" t="s">
        <v>122</v>
      </c>
      <c r="C141" s="861">
        <v>50</v>
      </c>
      <c r="D141" s="862">
        <f>((273+2*50)/1000)*3.14*367.18</f>
        <v>430.04855960000009</v>
      </c>
      <c r="E141" s="860">
        <v>0.5</v>
      </c>
      <c r="F141" s="860">
        <v>1.1499999999999999</v>
      </c>
      <c r="G141" s="860">
        <v>1.03</v>
      </c>
      <c r="H141" s="860">
        <v>5.67</v>
      </c>
      <c r="I141" s="866">
        <f t="shared" si="22"/>
        <v>260.53635942310001</v>
      </c>
      <c r="J141" s="867"/>
      <c r="K141" s="868">
        <f>((250+2*50)/1000)*3.14*43</f>
        <v>47.256999999999998</v>
      </c>
      <c r="L141" s="869">
        <f t="shared" si="23"/>
        <v>307.79335942310001</v>
      </c>
      <c r="M141" s="869"/>
      <c r="N141" s="854"/>
      <c r="O141" s="860" t="s">
        <v>63</v>
      </c>
      <c r="P141" s="861">
        <v>50</v>
      </c>
      <c r="Q141" s="862">
        <v>148.49</v>
      </c>
      <c r="R141" s="860">
        <v>0.9</v>
      </c>
      <c r="S141" s="860">
        <v>1.1499999999999999</v>
      </c>
      <c r="T141" s="11">
        <v>1.03</v>
      </c>
    </row>
    <row r="142" spans="1:20">
      <c r="A142" s="853"/>
      <c r="B142" s="860" t="s">
        <v>156</v>
      </c>
      <c r="C142" s="861">
        <v>50</v>
      </c>
      <c r="D142" s="862">
        <f>((323.9+2*50)/1000)*3.14*367.18</f>
        <v>488.73347028000001</v>
      </c>
      <c r="E142" s="860">
        <v>0.5</v>
      </c>
      <c r="F142" s="860">
        <v>1.1499999999999999</v>
      </c>
      <c r="G142" s="860">
        <v>1.03</v>
      </c>
      <c r="H142" s="860">
        <v>5.67</v>
      </c>
      <c r="I142" s="866">
        <f t="shared" si="22"/>
        <v>295.29249777333001</v>
      </c>
      <c r="J142" s="875"/>
      <c r="K142" s="876">
        <f>((300+2*50)/1000)*3.14*43</f>
        <v>54.00800000000001</v>
      </c>
      <c r="L142" s="869">
        <f t="shared" si="23"/>
        <v>349.30049777332999</v>
      </c>
      <c r="M142" s="869"/>
      <c r="N142" s="854"/>
      <c r="O142" s="860" t="s">
        <v>66</v>
      </c>
      <c r="P142" s="861">
        <v>50</v>
      </c>
      <c r="Q142" s="862">
        <v>195.38</v>
      </c>
      <c r="R142" s="860">
        <v>0.9</v>
      </c>
      <c r="S142" s="860">
        <v>1.1499999999999999</v>
      </c>
      <c r="T142" s="11">
        <v>1.03</v>
      </c>
    </row>
    <row r="143" spans="1:20">
      <c r="A143" s="853"/>
      <c r="B143" s="853"/>
      <c r="C143" s="854"/>
      <c r="D143" s="855"/>
      <c r="E143" s="853"/>
      <c r="F143" s="853"/>
      <c r="G143" s="853"/>
      <c r="H143" s="853"/>
      <c r="I143" s="850"/>
      <c r="J143" s="850"/>
      <c r="K143" s="851"/>
      <c r="L143" s="869"/>
      <c r="M143" s="869"/>
      <c r="N143" s="854"/>
      <c r="O143" s="860" t="s">
        <v>121</v>
      </c>
      <c r="P143" s="861">
        <v>50</v>
      </c>
      <c r="Q143" s="862">
        <v>256.38</v>
      </c>
      <c r="R143" s="860">
        <v>0.9</v>
      </c>
      <c r="S143" s="860">
        <v>1.1499999999999999</v>
      </c>
      <c r="T143" s="11">
        <v>1.03</v>
      </c>
    </row>
    <row r="144" spans="1:20">
      <c r="A144" s="853"/>
      <c r="B144" s="847" t="s">
        <v>766</v>
      </c>
      <c r="C144" s="848" t="s">
        <v>792</v>
      </c>
      <c r="D144" s="858" t="s">
        <v>874</v>
      </c>
      <c r="E144" s="853"/>
      <c r="F144" s="853"/>
      <c r="G144" s="853"/>
      <c r="H144" s="853"/>
      <c r="I144" s="856"/>
      <c r="J144" s="856"/>
      <c r="K144" s="851"/>
      <c r="L144" s="857"/>
      <c r="M144" s="857"/>
      <c r="N144" s="854"/>
      <c r="O144" s="860" t="s">
        <v>122</v>
      </c>
      <c r="P144" s="861">
        <v>50</v>
      </c>
      <c r="Q144" s="862"/>
      <c r="R144" s="860">
        <v>0.9</v>
      </c>
      <c r="S144" s="860">
        <v>1.1499999999999999</v>
      </c>
      <c r="T144" s="11">
        <v>1.03</v>
      </c>
    </row>
    <row r="145" spans="1:20">
      <c r="A145" s="853"/>
      <c r="B145" s="860" t="s">
        <v>769</v>
      </c>
      <c r="C145" s="861" t="s">
        <v>770</v>
      </c>
      <c r="D145" s="862" t="s">
        <v>771</v>
      </c>
      <c r="E145" s="860" t="s">
        <v>613</v>
      </c>
      <c r="F145" s="860" t="s">
        <v>772</v>
      </c>
      <c r="G145" s="860" t="s">
        <v>773</v>
      </c>
      <c r="H145" s="860" t="s">
        <v>774</v>
      </c>
      <c r="I145" s="863" t="s">
        <v>771</v>
      </c>
      <c r="J145" s="863"/>
      <c r="K145" s="864" t="s">
        <v>775</v>
      </c>
      <c r="L145" s="857" t="s">
        <v>821</v>
      </c>
      <c r="M145" s="857"/>
      <c r="N145" s="854"/>
      <c r="O145" s="860" t="s">
        <v>156</v>
      </c>
      <c r="P145" s="861">
        <v>50</v>
      </c>
      <c r="Q145" s="862"/>
      <c r="R145" s="860">
        <v>0.9</v>
      </c>
      <c r="S145" s="860">
        <v>1.1499999999999999</v>
      </c>
      <c r="T145" s="11">
        <v>1.03</v>
      </c>
    </row>
    <row r="146" spans="1:20">
      <c r="A146" s="853"/>
      <c r="B146" s="860" t="s">
        <v>47</v>
      </c>
      <c r="C146" s="861">
        <v>10</v>
      </c>
      <c r="D146" s="862">
        <v>11.04</v>
      </c>
      <c r="E146" s="860">
        <v>0.5</v>
      </c>
      <c r="F146" s="860">
        <v>1.1000000000000001</v>
      </c>
      <c r="G146" s="860">
        <v>1.03</v>
      </c>
      <c r="H146" s="860">
        <v>1.01</v>
      </c>
      <c r="I146" s="866">
        <f>(((D146*E146)*F146)+H146)*G146</f>
        <v>7.2944599999999999</v>
      </c>
      <c r="J146" s="867"/>
      <c r="K146" s="868">
        <v>21</v>
      </c>
      <c r="L146" s="869">
        <f>I146+K146</f>
        <v>28.294460000000001</v>
      </c>
      <c r="M146" s="869"/>
      <c r="N146" s="877"/>
      <c r="O146" s="860" t="s">
        <v>158</v>
      </c>
      <c r="P146" s="861">
        <v>50</v>
      </c>
      <c r="Q146" s="862"/>
      <c r="R146" s="860">
        <v>0.9</v>
      </c>
      <c r="S146" s="860">
        <v>1.1499999999999999</v>
      </c>
      <c r="T146" s="11">
        <v>1.03</v>
      </c>
    </row>
    <row r="147" spans="1:20">
      <c r="A147" s="853"/>
      <c r="B147" s="860" t="s">
        <v>49</v>
      </c>
      <c r="C147" s="861">
        <v>15</v>
      </c>
      <c r="D147" s="862">
        <v>14.21</v>
      </c>
      <c r="E147" s="860">
        <v>0.5</v>
      </c>
      <c r="F147" s="860">
        <v>1.1000000000000001</v>
      </c>
      <c r="G147" s="860">
        <v>1.03</v>
      </c>
      <c r="H147" s="860">
        <v>1.01</v>
      </c>
      <c r="I147" s="866">
        <f t="shared" ref="I147:I159" si="24">(((D147*E147)*F147)+H147)*G147</f>
        <v>9.0902650000000023</v>
      </c>
      <c r="J147" s="867"/>
      <c r="K147" s="868">
        <v>21</v>
      </c>
      <c r="L147" s="869">
        <f t="shared" ref="L147:L159" si="25">I147+K147</f>
        <v>30.090265000000002</v>
      </c>
      <c r="M147" s="869"/>
      <c r="N147" s="877"/>
      <c r="O147" s="860" t="s">
        <v>176</v>
      </c>
      <c r="P147" s="861">
        <v>50</v>
      </c>
      <c r="Q147" s="862"/>
      <c r="R147" s="860">
        <v>0.9</v>
      </c>
      <c r="S147" s="860">
        <v>1.1499999999999999</v>
      </c>
      <c r="T147" s="11">
        <v>1.03</v>
      </c>
    </row>
    <row r="148" spans="1:20">
      <c r="A148" s="853"/>
      <c r="B148" s="860" t="s">
        <v>51</v>
      </c>
      <c r="C148" s="861">
        <v>15</v>
      </c>
      <c r="D148" s="862">
        <v>18.27</v>
      </c>
      <c r="E148" s="860">
        <v>0.5</v>
      </c>
      <c r="F148" s="860">
        <v>1.1000000000000001</v>
      </c>
      <c r="G148" s="860">
        <v>1.03</v>
      </c>
      <c r="H148" s="860">
        <v>1.4</v>
      </c>
      <c r="I148" s="866">
        <f t="shared" si="24"/>
        <v>11.791955000000002</v>
      </c>
      <c r="J148" s="867"/>
      <c r="K148" s="868">
        <v>21</v>
      </c>
      <c r="L148" s="869">
        <f t="shared" si="25"/>
        <v>32.791955000000002</v>
      </c>
      <c r="M148" s="869"/>
      <c r="N148" s="877"/>
      <c r="O148" s="860" t="s">
        <v>178</v>
      </c>
      <c r="P148" s="861">
        <v>50</v>
      </c>
      <c r="Q148" s="862"/>
      <c r="R148" s="860">
        <v>0.9</v>
      </c>
      <c r="S148" s="860">
        <v>1.1499999999999999</v>
      </c>
      <c r="T148" s="11">
        <v>1.03</v>
      </c>
    </row>
    <row r="149" spans="1:20">
      <c r="A149" s="853"/>
      <c r="B149" s="860" t="s">
        <v>53</v>
      </c>
      <c r="C149" s="861">
        <v>15</v>
      </c>
      <c r="D149" s="862">
        <v>20.61</v>
      </c>
      <c r="E149" s="860">
        <v>0.5</v>
      </c>
      <c r="F149" s="860">
        <v>1.1000000000000001</v>
      </c>
      <c r="G149" s="860">
        <v>1.03</v>
      </c>
      <c r="H149" s="860">
        <v>1.4</v>
      </c>
      <c r="I149" s="866">
        <f t="shared" si="24"/>
        <v>13.117565000000003</v>
      </c>
      <c r="J149" s="867"/>
      <c r="K149" s="868">
        <v>21</v>
      </c>
      <c r="L149" s="869">
        <f t="shared" si="25"/>
        <v>34.117564999999999</v>
      </c>
      <c r="M149" s="869"/>
      <c r="N149" s="877"/>
      <c r="O149" s="860" t="s">
        <v>190</v>
      </c>
      <c r="P149" s="861">
        <v>50</v>
      </c>
      <c r="Q149" s="862"/>
      <c r="R149" s="860">
        <v>0.9</v>
      </c>
      <c r="S149" s="860">
        <v>1.1499999999999999</v>
      </c>
      <c r="T149" s="11">
        <v>1.03</v>
      </c>
    </row>
    <row r="150" spans="1:20">
      <c r="A150" s="853"/>
      <c r="B150" s="860" t="s">
        <v>55</v>
      </c>
      <c r="C150" s="861">
        <v>20</v>
      </c>
      <c r="D150" s="862">
        <v>38.72</v>
      </c>
      <c r="E150" s="860">
        <v>0.5</v>
      </c>
      <c r="F150" s="860">
        <v>1.1000000000000001</v>
      </c>
      <c r="G150" s="860">
        <v>1.03</v>
      </c>
      <c r="H150" s="860">
        <v>1.69</v>
      </c>
      <c r="I150" s="866">
        <f t="shared" si="24"/>
        <v>23.67558</v>
      </c>
      <c r="J150" s="867"/>
      <c r="K150" s="868">
        <v>21</v>
      </c>
      <c r="L150" s="869">
        <f t="shared" si="25"/>
        <v>44.675579999999997</v>
      </c>
      <c r="M150" s="869"/>
      <c r="N150" s="877"/>
      <c r="O150" s="850"/>
      <c r="P150" s="853"/>
      <c r="Q150" s="853"/>
      <c r="R150" s="853"/>
      <c r="S150" s="853"/>
    </row>
    <row r="151" spans="1:20">
      <c r="A151" s="853"/>
      <c r="B151" s="860" t="s">
        <v>57</v>
      </c>
      <c r="C151" s="861">
        <v>25</v>
      </c>
      <c r="D151" s="862">
        <v>68.52</v>
      </c>
      <c r="E151" s="860">
        <v>0.5</v>
      </c>
      <c r="F151" s="860">
        <v>1.1499999999999999</v>
      </c>
      <c r="G151" s="860">
        <v>1.03</v>
      </c>
      <c r="H151" s="860">
        <v>2.0499999999999998</v>
      </c>
      <c r="I151" s="866">
        <f t="shared" si="24"/>
        <v>42.692469999999993</v>
      </c>
      <c r="J151" s="867"/>
      <c r="K151" s="868">
        <v>21</v>
      </c>
      <c r="L151" s="869">
        <f t="shared" si="25"/>
        <v>63.692469999999993</v>
      </c>
      <c r="M151" s="869"/>
      <c r="N151" s="877"/>
      <c r="O151" s="850"/>
      <c r="P151" s="853"/>
      <c r="Q151" s="853"/>
      <c r="R151" s="853"/>
      <c r="S151" s="853"/>
    </row>
    <row r="152" spans="1:20">
      <c r="A152" s="853"/>
      <c r="B152" s="860" t="s">
        <v>59</v>
      </c>
      <c r="C152" s="861">
        <v>33</v>
      </c>
      <c r="D152" s="862">
        <v>121.83</v>
      </c>
      <c r="E152" s="860">
        <v>0.5</v>
      </c>
      <c r="F152" s="860">
        <v>1.1499999999999999</v>
      </c>
      <c r="G152" s="860">
        <v>1.03</v>
      </c>
      <c r="H152" s="860">
        <v>2.59</v>
      </c>
      <c r="I152" s="866">
        <f t="shared" si="24"/>
        <v>74.821517499999985</v>
      </c>
      <c r="J152" s="867"/>
      <c r="K152" s="868">
        <v>21</v>
      </c>
      <c r="L152" s="869">
        <f t="shared" si="25"/>
        <v>95.821517499999985</v>
      </c>
      <c r="M152" s="869"/>
      <c r="N152" s="877"/>
      <c r="O152" s="847" t="s">
        <v>805</v>
      </c>
      <c r="P152" s="848" t="s">
        <v>873</v>
      </c>
      <c r="Q152" s="848" t="s">
        <v>842</v>
      </c>
      <c r="R152" s="878">
        <v>45292</v>
      </c>
      <c r="S152" s="853"/>
      <c r="T152" s="169"/>
    </row>
    <row r="153" spans="1:20">
      <c r="A153" s="853"/>
      <c r="B153" s="860" t="s">
        <v>60</v>
      </c>
      <c r="C153" s="861">
        <v>40</v>
      </c>
      <c r="D153" s="862">
        <v>134.99</v>
      </c>
      <c r="E153" s="860">
        <v>0.5</v>
      </c>
      <c r="F153" s="860">
        <v>1.1499999999999999</v>
      </c>
      <c r="G153" s="860">
        <v>1.03</v>
      </c>
      <c r="H153" s="860">
        <v>3.14</v>
      </c>
      <c r="I153" s="866">
        <f t="shared" si="24"/>
        <v>83.18202749999999</v>
      </c>
      <c r="J153" s="867"/>
      <c r="K153" s="868">
        <v>26</v>
      </c>
      <c r="L153" s="869">
        <f t="shared" si="25"/>
        <v>109.18202749999999</v>
      </c>
      <c r="M153" s="869"/>
      <c r="N153" s="877"/>
      <c r="O153" s="860" t="s">
        <v>47</v>
      </c>
      <c r="P153" s="861">
        <v>20</v>
      </c>
      <c r="Q153" s="862">
        <v>21.04</v>
      </c>
      <c r="R153" s="860">
        <v>0.9</v>
      </c>
      <c r="S153" s="860">
        <v>1.1000000000000001</v>
      </c>
      <c r="T153" s="11">
        <v>1.03</v>
      </c>
    </row>
    <row r="154" spans="1:20">
      <c r="A154" s="853"/>
      <c r="B154" s="860" t="s">
        <v>62</v>
      </c>
      <c r="C154" s="861">
        <v>50</v>
      </c>
      <c r="D154" s="862">
        <f>((114.3+2*50)/1000)*3.14*333.03</f>
        <v>224.09655306000002</v>
      </c>
      <c r="E154" s="860">
        <v>0.5</v>
      </c>
      <c r="F154" s="860">
        <v>1.1499999999999999</v>
      </c>
      <c r="G154" s="860">
        <v>1.03</v>
      </c>
      <c r="H154" s="860">
        <v>3.86</v>
      </c>
      <c r="I154" s="866">
        <f t="shared" si="24"/>
        <v>136.69698354978502</v>
      </c>
      <c r="J154" s="867"/>
      <c r="K154" s="868">
        <v>26</v>
      </c>
      <c r="L154" s="869">
        <f t="shared" si="25"/>
        <v>162.69698354978502</v>
      </c>
      <c r="M154" s="869"/>
      <c r="N154" s="877"/>
      <c r="O154" s="860" t="s">
        <v>49</v>
      </c>
      <c r="P154" s="861">
        <v>30</v>
      </c>
      <c r="Q154" s="862">
        <v>32.36</v>
      </c>
      <c r="R154" s="860">
        <v>0.9</v>
      </c>
      <c r="S154" s="860">
        <v>1.1000000000000001</v>
      </c>
      <c r="T154" s="11">
        <v>1.03</v>
      </c>
    </row>
    <row r="155" spans="1:20">
      <c r="A155" s="853"/>
      <c r="B155" s="860" t="s">
        <v>63</v>
      </c>
      <c r="C155" s="861">
        <v>50</v>
      </c>
      <c r="D155" s="862">
        <f>((139.7+2*50)/1000)*3.14*333.03</f>
        <v>250.65769373999998</v>
      </c>
      <c r="E155" s="860">
        <v>0.5</v>
      </c>
      <c r="F155" s="860">
        <v>1.1499999999999999</v>
      </c>
      <c r="G155" s="860">
        <v>1.03</v>
      </c>
      <c r="H155" s="860">
        <v>4.7699999999999996</v>
      </c>
      <c r="I155" s="866">
        <f t="shared" si="24"/>
        <v>153.36511911751498</v>
      </c>
      <c r="J155" s="867"/>
      <c r="K155" s="868">
        <v>28</v>
      </c>
      <c r="L155" s="869">
        <f t="shared" si="25"/>
        <v>181.36511911751498</v>
      </c>
      <c r="M155" s="869"/>
      <c r="N155" s="877"/>
      <c r="O155" s="860" t="s">
        <v>51</v>
      </c>
      <c r="P155" s="861">
        <v>30</v>
      </c>
      <c r="Q155" s="862">
        <v>33.08</v>
      </c>
      <c r="R155" s="860">
        <v>0.9</v>
      </c>
      <c r="S155" s="860">
        <v>1.1000000000000001</v>
      </c>
      <c r="T155" s="11">
        <v>1.03</v>
      </c>
    </row>
    <row r="156" spans="1:20">
      <c r="A156" s="853"/>
      <c r="B156" s="860" t="s">
        <v>66</v>
      </c>
      <c r="C156" s="861">
        <v>50</v>
      </c>
      <c r="D156" s="862">
        <f>((168.3+2*50)/1000)*3.14*333.03</f>
        <v>280.56511986000004</v>
      </c>
      <c r="E156" s="860">
        <v>0.5</v>
      </c>
      <c r="F156" s="860">
        <v>1.1499999999999999</v>
      </c>
      <c r="G156" s="860">
        <v>1.03</v>
      </c>
      <c r="H156" s="860">
        <v>5.67</v>
      </c>
      <c r="I156" s="866">
        <f t="shared" si="24"/>
        <v>172.00479223708501</v>
      </c>
      <c r="J156" s="867"/>
      <c r="K156" s="868">
        <f>((150+2*50)/1000)*3.14*43</f>
        <v>33.755000000000003</v>
      </c>
      <c r="L156" s="869">
        <f t="shared" si="25"/>
        <v>205.75979223708501</v>
      </c>
      <c r="M156" s="869"/>
      <c r="N156" s="877"/>
      <c r="O156" s="860" t="s">
        <v>53</v>
      </c>
      <c r="P156" s="861">
        <v>30</v>
      </c>
      <c r="Q156" s="862">
        <v>54.66</v>
      </c>
      <c r="R156" s="860">
        <v>0.9</v>
      </c>
      <c r="S156" s="860">
        <v>1.1000000000000001</v>
      </c>
      <c r="T156" s="11">
        <v>1.03</v>
      </c>
    </row>
    <row r="157" spans="1:20">
      <c r="A157" s="853"/>
      <c r="B157" s="860" t="s">
        <v>121</v>
      </c>
      <c r="C157" s="861">
        <v>50</v>
      </c>
      <c r="D157" s="862">
        <f>((219.1+2*50)/1000)*3.14*333.03</f>
        <v>333.68740122000003</v>
      </c>
      <c r="E157" s="860">
        <v>0.5</v>
      </c>
      <c r="F157" s="860">
        <v>1.1499999999999999</v>
      </c>
      <c r="G157" s="860">
        <v>1.03</v>
      </c>
      <c r="H157" s="860">
        <v>5.67</v>
      </c>
      <c r="I157" s="866">
        <f t="shared" si="24"/>
        <v>203.46646337254501</v>
      </c>
      <c r="J157" s="867"/>
      <c r="K157" s="868">
        <f>((200+2*50)/1000)*3.14*43</f>
        <v>40.506</v>
      </c>
      <c r="L157" s="869">
        <f t="shared" si="25"/>
        <v>243.97246337254501</v>
      </c>
      <c r="M157" s="869"/>
      <c r="N157" s="877"/>
      <c r="O157" s="860" t="s">
        <v>55</v>
      </c>
      <c r="P157" s="861">
        <v>40</v>
      </c>
      <c r="Q157" s="862">
        <v>57.47</v>
      </c>
      <c r="R157" s="860">
        <v>0.9</v>
      </c>
      <c r="S157" s="860">
        <v>1.1000000000000001</v>
      </c>
      <c r="T157" s="11">
        <v>1.03</v>
      </c>
    </row>
    <row r="158" spans="1:20">
      <c r="A158" s="853"/>
      <c r="B158" s="860" t="s">
        <v>122</v>
      </c>
      <c r="C158" s="861">
        <v>50</v>
      </c>
      <c r="D158" s="862">
        <f>((273+2*50)/1000)*3.14*333.03</f>
        <v>390.05139660000003</v>
      </c>
      <c r="E158" s="860">
        <v>0.5</v>
      </c>
      <c r="F158" s="860">
        <v>1.1499999999999999</v>
      </c>
      <c r="G158" s="860">
        <v>1.03</v>
      </c>
      <c r="H158" s="860">
        <v>5.67</v>
      </c>
      <c r="I158" s="866">
        <f t="shared" si="24"/>
        <v>236.84803963634999</v>
      </c>
      <c r="J158" s="867"/>
      <c r="K158" s="868">
        <f>((250+2*50)/1000)*3.14*43</f>
        <v>47.256999999999998</v>
      </c>
      <c r="L158" s="869">
        <f t="shared" si="25"/>
        <v>284.10503963635</v>
      </c>
      <c r="M158" s="869"/>
      <c r="N158" s="877"/>
      <c r="O158" s="860" t="s">
        <v>57</v>
      </c>
      <c r="P158" s="861">
        <v>50</v>
      </c>
      <c r="Q158" s="862">
        <v>83.11</v>
      </c>
      <c r="R158" s="860">
        <v>0.9</v>
      </c>
      <c r="S158" s="860">
        <v>1.1499999999999999</v>
      </c>
      <c r="T158" s="11">
        <v>1.03</v>
      </c>
    </row>
    <row r="159" spans="1:20">
      <c r="A159" s="853"/>
      <c r="B159" s="860" t="s">
        <v>156</v>
      </c>
      <c r="C159" s="861">
        <v>50</v>
      </c>
      <c r="D159" s="862">
        <f>((323.9+2*50)/1000)*3.14*333.03</f>
        <v>443.27824937999992</v>
      </c>
      <c r="E159" s="860">
        <v>0.5</v>
      </c>
      <c r="F159" s="860">
        <v>1.1499999999999999</v>
      </c>
      <c r="G159" s="860">
        <v>1.03</v>
      </c>
      <c r="H159" s="860">
        <v>5.67</v>
      </c>
      <c r="I159" s="866">
        <f t="shared" si="24"/>
        <v>268.37164319530496</v>
      </c>
      <c r="J159" s="875"/>
      <c r="K159" s="876">
        <f>((300+2*50)/1000)*3.14*43</f>
        <v>54.00800000000001</v>
      </c>
      <c r="L159" s="869">
        <f t="shared" si="25"/>
        <v>322.37964319530499</v>
      </c>
      <c r="M159" s="869"/>
      <c r="N159" s="877"/>
      <c r="O159" s="860" t="s">
        <v>59</v>
      </c>
      <c r="P159" s="861">
        <v>65</v>
      </c>
      <c r="Q159" s="862">
        <v>165.19</v>
      </c>
      <c r="R159" s="860">
        <v>0.9</v>
      </c>
      <c r="S159" s="860">
        <v>1.1499999999999999</v>
      </c>
      <c r="T159" s="11">
        <v>1.03</v>
      </c>
    </row>
    <row r="160" spans="1:20">
      <c r="A160" s="853"/>
      <c r="B160" s="853"/>
      <c r="C160" s="854"/>
      <c r="D160" s="855"/>
      <c r="E160" s="853"/>
      <c r="F160" s="853"/>
      <c r="G160" s="853"/>
      <c r="H160" s="853"/>
      <c r="I160" s="850"/>
      <c r="J160" s="850"/>
      <c r="K160" s="851"/>
      <c r="L160" s="857"/>
      <c r="M160" s="857"/>
      <c r="N160" s="854"/>
      <c r="O160" s="860" t="s">
        <v>60</v>
      </c>
      <c r="P160" s="861">
        <v>80</v>
      </c>
      <c r="Q160" s="862">
        <v>235.98</v>
      </c>
      <c r="R160" s="860">
        <v>0.9</v>
      </c>
      <c r="S160" s="860">
        <v>1.1499999999999999</v>
      </c>
      <c r="T160" s="11">
        <v>1.03</v>
      </c>
    </row>
    <row r="161" spans="1:20">
      <c r="A161" s="853"/>
      <c r="B161" s="847" t="s">
        <v>766</v>
      </c>
      <c r="C161" s="848" t="s">
        <v>792</v>
      </c>
      <c r="D161" s="858" t="s">
        <v>862</v>
      </c>
      <c r="E161" s="848" t="s">
        <v>842</v>
      </c>
      <c r="F161" s="853"/>
      <c r="G161" s="853"/>
      <c r="H161" s="853"/>
      <c r="I161" s="850"/>
      <c r="J161" s="850"/>
      <c r="K161" s="851"/>
      <c r="L161" s="857"/>
      <c r="M161" s="857"/>
      <c r="N161" s="854"/>
      <c r="O161" s="860" t="s">
        <v>62</v>
      </c>
      <c r="P161" s="861">
        <v>100</v>
      </c>
      <c r="Q161" s="862">
        <v>339.51</v>
      </c>
      <c r="R161" s="860">
        <v>0.9</v>
      </c>
      <c r="S161" s="860">
        <v>1.1499999999999999</v>
      </c>
      <c r="T161" s="11">
        <v>1.03</v>
      </c>
    </row>
    <row r="162" spans="1:20">
      <c r="A162" s="853"/>
      <c r="B162" s="860" t="s">
        <v>47</v>
      </c>
      <c r="C162" s="861">
        <v>20</v>
      </c>
      <c r="D162" s="862">
        <v>31.32</v>
      </c>
      <c r="E162" s="860">
        <v>0.5</v>
      </c>
      <c r="F162" s="860">
        <v>1.1000000000000001</v>
      </c>
      <c r="G162" s="860">
        <v>1.03</v>
      </c>
      <c r="H162" s="860">
        <v>1.01</v>
      </c>
      <c r="I162" s="866">
        <f>(((D162*E162)*F162)+H162)*G162</f>
        <v>18.783080000000005</v>
      </c>
      <c r="J162" s="879"/>
      <c r="K162" s="880">
        <v>21</v>
      </c>
      <c r="L162" s="857"/>
      <c r="M162" s="857"/>
      <c r="N162" s="854"/>
      <c r="O162" s="860" t="s">
        <v>63</v>
      </c>
      <c r="P162" s="861">
        <v>100</v>
      </c>
      <c r="Q162" s="862">
        <v>357.8</v>
      </c>
      <c r="R162" s="860">
        <v>0.9</v>
      </c>
      <c r="S162" s="860">
        <v>1.1499999999999999</v>
      </c>
      <c r="T162" s="11">
        <v>1.03</v>
      </c>
    </row>
    <row r="163" spans="1:20">
      <c r="A163" s="853"/>
      <c r="B163" s="860" t="s">
        <v>49</v>
      </c>
      <c r="C163" s="861">
        <v>30</v>
      </c>
      <c r="D163" s="862">
        <v>52.61</v>
      </c>
      <c r="E163" s="860">
        <v>0.5</v>
      </c>
      <c r="F163" s="860">
        <v>1.1000000000000001</v>
      </c>
      <c r="G163" s="860">
        <v>1.03</v>
      </c>
      <c r="H163" s="860">
        <v>1.01</v>
      </c>
      <c r="I163" s="866">
        <f t="shared" ref="I163:I175" si="26">(((D163*E163)*F163)+H163)*G163</f>
        <v>30.843865000000005</v>
      </c>
      <c r="J163" s="867"/>
      <c r="K163" s="880">
        <v>21</v>
      </c>
      <c r="L163" s="857"/>
      <c r="M163" s="857"/>
      <c r="N163" s="877"/>
      <c r="O163" s="860" t="s">
        <v>66</v>
      </c>
      <c r="P163" s="861">
        <v>100</v>
      </c>
      <c r="Q163" s="862">
        <v>470.88</v>
      </c>
      <c r="R163" s="860">
        <v>0.9</v>
      </c>
      <c r="S163" s="860">
        <v>1.1499999999999999</v>
      </c>
      <c r="T163" s="11">
        <v>1.03</v>
      </c>
    </row>
    <row r="164" spans="1:20">
      <c r="A164" s="853"/>
      <c r="B164" s="860" t="s">
        <v>51</v>
      </c>
      <c r="C164" s="861">
        <v>30</v>
      </c>
      <c r="D164" s="862">
        <v>62.15</v>
      </c>
      <c r="E164" s="860">
        <v>0.5</v>
      </c>
      <c r="F164" s="860">
        <v>1.1000000000000001</v>
      </c>
      <c r="G164" s="860">
        <v>1.03</v>
      </c>
      <c r="H164" s="860">
        <v>1.4</v>
      </c>
      <c r="I164" s="866">
        <f t="shared" si="26"/>
        <v>36.649975000000005</v>
      </c>
      <c r="J164" s="867"/>
      <c r="K164" s="880">
        <v>21</v>
      </c>
      <c r="L164" s="857"/>
      <c r="M164" s="857"/>
      <c r="N164" s="877"/>
      <c r="O164" s="860" t="s">
        <v>121</v>
      </c>
      <c r="P164" s="861">
        <v>100</v>
      </c>
      <c r="Q164" s="862">
        <v>503.95</v>
      </c>
      <c r="R164" s="860">
        <v>0.9</v>
      </c>
      <c r="S164" s="860">
        <v>1.1499999999999999</v>
      </c>
      <c r="T164" s="11">
        <v>1.03</v>
      </c>
    </row>
    <row r="165" spans="1:20">
      <c r="A165" s="853"/>
      <c r="B165" s="860" t="s">
        <v>53</v>
      </c>
      <c r="C165" s="861">
        <v>30</v>
      </c>
      <c r="D165" s="862">
        <v>76.989999999999995</v>
      </c>
      <c r="E165" s="860">
        <v>0.5</v>
      </c>
      <c r="F165" s="860">
        <v>1.1000000000000001</v>
      </c>
      <c r="G165" s="860">
        <v>1.03</v>
      </c>
      <c r="H165" s="860">
        <v>1.4</v>
      </c>
      <c r="I165" s="866">
        <f t="shared" si="26"/>
        <v>45.056835000000007</v>
      </c>
      <c r="J165" s="867"/>
      <c r="K165" s="880">
        <v>21</v>
      </c>
      <c r="L165" s="857"/>
      <c r="M165" s="857"/>
      <c r="N165" s="877"/>
      <c r="O165" s="860" t="s">
        <v>122</v>
      </c>
      <c r="P165" s="861">
        <v>100</v>
      </c>
      <c r="Q165" s="862">
        <f>((273+2*50)/1000)*3.14*105.09+((273+2*100)/1000)*3.14*105.09</f>
        <v>279.16527960000002</v>
      </c>
      <c r="R165" s="860">
        <v>0.9</v>
      </c>
      <c r="S165" s="860">
        <v>1.1499999999999999</v>
      </c>
      <c r="T165" s="11">
        <v>1.03</v>
      </c>
    </row>
    <row r="166" spans="1:20">
      <c r="A166" s="853"/>
      <c r="B166" s="860" t="s">
        <v>55</v>
      </c>
      <c r="C166" s="861">
        <v>40</v>
      </c>
      <c r="D166" s="862">
        <v>139.19</v>
      </c>
      <c r="E166" s="860">
        <v>0.5</v>
      </c>
      <c r="F166" s="860">
        <v>1.1000000000000001</v>
      </c>
      <c r="G166" s="860">
        <v>1.03</v>
      </c>
      <c r="H166" s="860">
        <v>1.69</v>
      </c>
      <c r="I166" s="866">
        <f t="shared" si="26"/>
        <v>80.591835000000003</v>
      </c>
      <c r="J166" s="867"/>
      <c r="K166" s="880">
        <v>21</v>
      </c>
      <c r="L166" s="857"/>
      <c r="M166" s="857"/>
      <c r="N166" s="877"/>
      <c r="O166" s="860" t="s">
        <v>156</v>
      </c>
      <c r="P166" s="861">
        <v>100</v>
      </c>
      <c r="Q166" s="862">
        <f>((323.9+2*50)/1000)*3.14*105.09+((323.9+2*100)/1000)*3.14*105.09</f>
        <v>312.75750828000002</v>
      </c>
      <c r="R166" s="860">
        <v>0.9</v>
      </c>
      <c r="S166" s="860">
        <v>1.1499999999999999</v>
      </c>
      <c r="T166" s="11">
        <v>1.03</v>
      </c>
    </row>
    <row r="167" spans="1:20">
      <c r="A167" s="853"/>
      <c r="B167" s="860" t="s">
        <v>57</v>
      </c>
      <c r="C167" s="861">
        <v>50</v>
      </c>
      <c r="D167" s="862">
        <f>150.94+((60.3+2*50)/1000)*3.14*226.44</f>
        <v>264.91676247999999</v>
      </c>
      <c r="E167" s="860">
        <v>0.5</v>
      </c>
      <c r="F167" s="860">
        <v>1.1499999999999999</v>
      </c>
      <c r="G167" s="860">
        <v>1.03</v>
      </c>
      <c r="H167" s="860">
        <v>2.0499999999999998</v>
      </c>
      <c r="I167" s="866">
        <f t="shared" si="26"/>
        <v>159.00845257877998</v>
      </c>
      <c r="J167" s="867"/>
      <c r="K167" s="868">
        <v>30</v>
      </c>
      <c r="L167" s="857"/>
      <c r="M167" s="857"/>
      <c r="N167" s="877"/>
      <c r="O167" s="860" t="s">
        <v>158</v>
      </c>
      <c r="P167" s="861">
        <v>100</v>
      </c>
      <c r="Q167" s="862">
        <f>((370+2*50)/1000)*3.14*105.09+((370+2*100)/1000)*3.14*105.09</f>
        <v>343.18190400000003</v>
      </c>
      <c r="R167" s="860">
        <v>0.9</v>
      </c>
      <c r="S167" s="860">
        <v>1.1499999999999999</v>
      </c>
      <c r="T167" s="11">
        <v>1.03</v>
      </c>
    </row>
    <row r="168" spans="1:20">
      <c r="A168" s="853"/>
      <c r="B168" s="860" t="s">
        <v>59</v>
      </c>
      <c r="C168" s="861">
        <v>65</v>
      </c>
      <c r="D168" s="862">
        <f>188.17+((76.1+2*65)/1000)*3.14*270</f>
        <v>362.90157999999997</v>
      </c>
      <c r="E168" s="860">
        <v>0.5</v>
      </c>
      <c r="F168" s="860">
        <v>1.1499999999999999</v>
      </c>
      <c r="G168" s="860">
        <v>1.03</v>
      </c>
      <c r="H168" s="860">
        <v>2.59</v>
      </c>
      <c r="I168" s="866">
        <f t="shared" si="26"/>
        <v>217.59616075499997</v>
      </c>
      <c r="J168" s="867"/>
      <c r="K168" s="868">
        <f>21+((65+2*65)/1000)*3.14*43</f>
        <v>47.328900000000004</v>
      </c>
      <c r="L168" s="857"/>
      <c r="M168" s="857"/>
      <c r="N168" s="877"/>
      <c r="O168" s="860" t="s">
        <v>176</v>
      </c>
      <c r="P168" s="861">
        <v>100</v>
      </c>
      <c r="Q168" s="862"/>
      <c r="R168" s="860">
        <v>0.9</v>
      </c>
      <c r="S168" s="860">
        <v>1.1499999999999999</v>
      </c>
      <c r="T168" s="11">
        <v>1.03</v>
      </c>
    </row>
    <row r="169" spans="1:20">
      <c r="A169" s="853"/>
      <c r="B169" s="860" t="s">
        <v>60</v>
      </c>
      <c r="C169" s="861">
        <v>80</v>
      </c>
      <c r="D169" s="862">
        <f>152.06+((88.9+2*80)/1000)*3.14*495.46</f>
        <v>539.28478115999997</v>
      </c>
      <c r="E169" s="860">
        <v>0.5</v>
      </c>
      <c r="F169" s="860">
        <v>1.1499999999999999</v>
      </c>
      <c r="G169" s="860">
        <v>1.03</v>
      </c>
      <c r="H169" s="860">
        <v>3.14</v>
      </c>
      <c r="I169" s="866">
        <f t="shared" si="26"/>
        <v>322.62561164200991</v>
      </c>
      <c r="J169" s="867"/>
      <c r="K169" s="868">
        <f>26+((80+2*80)/1000)*3.14*43</f>
        <v>58.404800000000002</v>
      </c>
      <c r="L169" s="857"/>
      <c r="M169" s="857"/>
      <c r="N169" s="877"/>
      <c r="O169" s="860" t="s">
        <v>178</v>
      </c>
      <c r="P169" s="861">
        <v>100</v>
      </c>
      <c r="Q169" s="862"/>
      <c r="R169" s="860">
        <v>0.9</v>
      </c>
      <c r="S169" s="860">
        <v>1.1499999999999999</v>
      </c>
      <c r="T169" s="11">
        <v>1.03</v>
      </c>
    </row>
    <row r="170" spans="1:20">
      <c r="A170" s="853"/>
      <c r="B170" s="860" t="s">
        <v>62</v>
      </c>
      <c r="C170" s="861">
        <v>100</v>
      </c>
      <c r="D170" s="862">
        <f>((114.3+2*50)/1000)*3.14*495.46+((114.3+2*100)/1000)*3.14*495.46</f>
        <v>822.3664898400001</v>
      </c>
      <c r="E170" s="860">
        <v>0.5</v>
      </c>
      <c r="F170" s="860">
        <v>1.1499999999999999</v>
      </c>
      <c r="G170" s="860">
        <v>1.03</v>
      </c>
      <c r="H170" s="860">
        <v>3.86</v>
      </c>
      <c r="I170" s="866">
        <f t="shared" si="26"/>
        <v>491.02235360774006</v>
      </c>
      <c r="J170" s="867"/>
      <c r="K170" s="868">
        <f>((100+2*50)/1000)*3.14*43+((100+2*100)/1000)*3.14*43</f>
        <v>67.510000000000005</v>
      </c>
      <c r="L170" s="857"/>
      <c r="M170" s="857"/>
      <c r="N170" s="877"/>
      <c r="O170" s="860" t="s">
        <v>190</v>
      </c>
      <c r="P170" s="861">
        <v>100</v>
      </c>
      <c r="Q170" s="862"/>
      <c r="R170" s="860">
        <v>0.9</v>
      </c>
      <c r="S170" s="860">
        <v>1.1499999999999999</v>
      </c>
      <c r="T170" s="11">
        <v>1.03</v>
      </c>
    </row>
    <row r="171" spans="1:20">
      <c r="A171" s="853"/>
      <c r="B171" s="860" t="s">
        <v>63</v>
      </c>
      <c r="C171" s="861">
        <v>100</v>
      </c>
      <c r="D171" s="862">
        <f>((139.7+2*50)/1000)*3.14*495.46+((139.7+2*100)/1000)*3.14*495.46</f>
        <v>901.39830535999999</v>
      </c>
      <c r="E171" s="860">
        <v>0.5</v>
      </c>
      <c r="F171" s="860">
        <v>1.1499999999999999</v>
      </c>
      <c r="G171" s="860">
        <v>1.03</v>
      </c>
      <c r="H171" s="860">
        <v>4.7699999999999996</v>
      </c>
      <c r="I171" s="866">
        <f t="shared" si="26"/>
        <v>538.76624634945995</v>
      </c>
      <c r="J171" s="867"/>
      <c r="K171" s="868">
        <f>((125+2*50)/1000)*3.14*43+((125+2*100)/1000)*3.14*43</f>
        <v>74.26100000000001</v>
      </c>
      <c r="L171" s="857"/>
      <c r="M171" s="857"/>
      <c r="N171" s="877"/>
      <c r="O171" s="850"/>
      <c r="P171" s="853"/>
      <c r="Q171" s="853"/>
      <c r="R171" s="853"/>
      <c r="S171" s="853"/>
    </row>
    <row r="172" spans="1:20">
      <c r="A172" s="853"/>
      <c r="B172" s="860" t="s">
        <v>66</v>
      </c>
      <c r="C172" s="861">
        <v>100</v>
      </c>
      <c r="D172" s="862">
        <f>((168.3+2*50)/1000)*3.14*495.46+((168.3+2*100)/1000)*3.14*495.46</f>
        <v>990.38688504000015</v>
      </c>
      <c r="E172" s="860">
        <v>0.5</v>
      </c>
      <c r="F172" s="860">
        <v>1.1499999999999999</v>
      </c>
      <c r="G172" s="860">
        <v>1.03</v>
      </c>
      <c r="H172" s="860">
        <v>5.67</v>
      </c>
      <c r="I172" s="866">
        <f t="shared" si="26"/>
        <v>592.39673266494003</v>
      </c>
      <c r="J172" s="867"/>
      <c r="K172" s="868">
        <f>((150+2*50)/1000)*3.14*43+((150+2*100)/1000)*3.14*43</f>
        <v>81.012</v>
      </c>
      <c r="L172" s="857"/>
      <c r="M172" s="857"/>
      <c r="N172" s="877"/>
      <c r="O172" s="850"/>
      <c r="P172" s="853"/>
      <c r="Q172" s="853"/>
      <c r="R172" s="853"/>
      <c r="S172" s="853"/>
    </row>
    <row r="173" spans="1:20">
      <c r="A173" s="853"/>
      <c r="B173" s="860" t="s">
        <v>121</v>
      </c>
      <c r="C173" s="861">
        <v>100</v>
      </c>
      <c r="D173" s="862">
        <f>((219.1+2*50)/1000)*3.14*495.46+((219.1+2*100)/1000)*3.14*495.46</f>
        <v>1148.4505160799999</v>
      </c>
      <c r="E173" s="860">
        <v>0.5</v>
      </c>
      <c r="F173" s="860">
        <v>1.1499999999999999</v>
      </c>
      <c r="G173" s="860">
        <v>1.03</v>
      </c>
      <c r="H173" s="860">
        <v>5.67</v>
      </c>
      <c r="I173" s="866">
        <f t="shared" si="26"/>
        <v>686.00991814837982</v>
      </c>
      <c r="J173" s="867"/>
      <c r="K173" s="868">
        <f>((200+2*50)/1000)*3.14*43+((200+2*100)/1000)*3.14*43</f>
        <v>94.51400000000001</v>
      </c>
      <c r="L173" s="857"/>
      <c r="M173" s="857"/>
      <c r="N173" s="877"/>
      <c r="O173" s="850"/>
      <c r="P173" s="853"/>
      <c r="Q173" s="853"/>
      <c r="R173" s="853"/>
      <c r="S173" s="853"/>
    </row>
    <row r="174" spans="1:20">
      <c r="A174" s="853"/>
      <c r="B174" s="860" t="s">
        <v>122</v>
      </c>
      <c r="C174" s="861">
        <v>100</v>
      </c>
      <c r="D174" s="862">
        <f>((273+2*50)/1000)*3.14*495.46+((273+2*100)/1000)*3.14*495.46</f>
        <v>1316.1597624000001</v>
      </c>
      <c r="E174" s="860">
        <v>0.5</v>
      </c>
      <c r="F174" s="860">
        <v>1.1499999999999999</v>
      </c>
      <c r="G174" s="860">
        <v>1.03</v>
      </c>
      <c r="H174" s="860">
        <v>5.67</v>
      </c>
      <c r="I174" s="866">
        <f t="shared" si="26"/>
        <v>785.33571928139997</v>
      </c>
      <c r="J174" s="867"/>
      <c r="K174" s="868">
        <f>((250+2*50)/1000)*3.14*43+((250+2*100)/1000)*3.14*43</f>
        <v>108.01599999999999</v>
      </c>
      <c r="L174" s="857"/>
      <c r="M174" s="857"/>
      <c r="N174" s="877"/>
      <c r="O174" s="850"/>
      <c r="P174" s="853"/>
      <c r="Q174" s="853"/>
      <c r="R174" s="853"/>
      <c r="S174" s="853"/>
    </row>
    <row r="175" spans="1:20">
      <c r="A175" s="853"/>
      <c r="B175" s="860" t="s">
        <v>156</v>
      </c>
      <c r="C175" s="861">
        <v>100</v>
      </c>
      <c r="D175" s="862">
        <f>((323.9+2*50)/1000)*3.14*495.46+((323.9+2*100)/1000)*3.14*495.46</f>
        <v>1474.5345423200001</v>
      </c>
      <c r="E175" s="860">
        <v>0.5</v>
      </c>
      <c r="F175" s="860">
        <v>1.1499999999999999</v>
      </c>
      <c r="G175" s="860">
        <v>1.03</v>
      </c>
      <c r="H175" s="860">
        <v>5.67</v>
      </c>
      <c r="I175" s="866">
        <f t="shared" si="26"/>
        <v>879.13318268902003</v>
      </c>
      <c r="J175" s="875"/>
      <c r="K175" s="876">
        <f>((300+2*50)/1000)*3.14*43+((300+2*100)/1000)*3.14*43</f>
        <v>121.51800000000001</v>
      </c>
      <c r="L175" s="857"/>
      <c r="M175" s="857"/>
      <c r="N175" s="877"/>
      <c r="O175" s="850"/>
      <c r="P175" s="853"/>
      <c r="Q175" s="853"/>
      <c r="R175" s="853"/>
      <c r="S175" s="853"/>
    </row>
    <row r="176" spans="1:20">
      <c r="A176" s="853"/>
      <c r="B176" s="860" t="s">
        <v>158</v>
      </c>
      <c r="C176" s="861"/>
      <c r="D176" s="862"/>
      <c r="E176" s="860"/>
      <c r="F176" s="860"/>
      <c r="G176" s="860"/>
      <c r="H176" s="860"/>
      <c r="I176" s="866"/>
      <c r="J176" s="875"/>
      <c r="K176" s="876"/>
      <c r="L176" s="857"/>
      <c r="M176" s="857"/>
      <c r="N176" s="854"/>
      <c r="O176" s="853"/>
      <c r="P176" s="853"/>
      <c r="Q176" s="853"/>
      <c r="R176" s="853"/>
      <c r="S176" s="853"/>
    </row>
    <row r="177" spans="1:20">
      <c r="A177" s="853"/>
      <c r="B177" s="860" t="s">
        <v>176</v>
      </c>
      <c r="C177" s="861">
        <v>100</v>
      </c>
      <c r="D177" s="862">
        <f>((410+2*50)/1000)*3.14*495.46+((410+2*100)/1000)*3.14*495.46</f>
        <v>1742.433728</v>
      </c>
      <c r="E177" s="860">
        <v>0.5</v>
      </c>
      <c r="F177" s="860">
        <v>1.1499999999999999</v>
      </c>
      <c r="G177" s="860">
        <v>1.03</v>
      </c>
      <c r="H177" s="860">
        <v>7.67</v>
      </c>
      <c r="I177" s="866">
        <f>(((D177*E177)*F177)+H177)*G177</f>
        <v>1039.8564754079998</v>
      </c>
      <c r="J177" s="875"/>
      <c r="K177" s="876">
        <f>((410+2*50)/1000)*3.14*43+((410+2*100)/1000)*3.14*43</f>
        <v>151.22239999999999</v>
      </c>
      <c r="L177" s="857"/>
      <c r="M177" s="857"/>
      <c r="N177" s="854"/>
      <c r="O177" s="853"/>
      <c r="P177" s="853"/>
      <c r="Q177" s="853"/>
      <c r="R177" s="853"/>
      <c r="S177" s="853"/>
    </row>
    <row r="178" spans="1:20">
      <c r="A178" s="853"/>
      <c r="B178" s="860" t="s">
        <v>831</v>
      </c>
      <c r="C178" s="861">
        <v>100</v>
      </c>
      <c r="D178" s="862">
        <f>((455+2*50)/1000)*3.14*495.46+((455+2*100)/1000)*3.14*495.46</f>
        <v>1882.4507240000003</v>
      </c>
      <c r="E178" s="860">
        <v>0.5</v>
      </c>
      <c r="F178" s="860">
        <v>1.1499999999999999</v>
      </c>
      <c r="G178" s="860">
        <v>1.03</v>
      </c>
      <c r="H178" s="860">
        <v>7.67</v>
      </c>
      <c r="I178" s="866">
        <f>(((D178*E178)*F178)+H178)*G178</f>
        <v>1122.7815412890002</v>
      </c>
      <c r="J178" s="875"/>
      <c r="K178" s="876">
        <f>((455+2*50)/1000)*3.14*43+((455+2*100)/1000)*3.14*43</f>
        <v>163.37420000000003</v>
      </c>
      <c r="L178" s="857"/>
      <c r="M178" s="857"/>
      <c r="N178" s="854"/>
      <c r="O178" s="853"/>
      <c r="P178" s="853"/>
      <c r="Q178" s="853"/>
      <c r="R178" s="853"/>
      <c r="S178" s="853"/>
    </row>
    <row r="179" spans="1:20">
      <c r="A179" s="853"/>
      <c r="B179" s="860" t="s">
        <v>178</v>
      </c>
      <c r="C179" s="861">
        <v>100</v>
      </c>
      <c r="D179" s="862">
        <f>((508+2*50)/1000)*3.14*495.46+((508+2*100)/1000)*3.14*495.46</f>
        <v>2047.3596303999998</v>
      </c>
      <c r="E179" s="860">
        <v>0.5</v>
      </c>
      <c r="F179" s="860">
        <v>1.1499999999999999</v>
      </c>
      <c r="G179" s="860">
        <v>1.03</v>
      </c>
      <c r="H179" s="860">
        <v>10.67</v>
      </c>
      <c r="I179" s="866">
        <f>(((D179*E179)*F179)+H179)*G179</f>
        <v>1223.5388411044</v>
      </c>
      <c r="J179" s="875"/>
      <c r="K179" s="876">
        <f>((508+2*50)/1000)*3.14*43+((508+2*100)/1000)*3.14*43</f>
        <v>177.68631999999997</v>
      </c>
      <c r="L179" s="857"/>
      <c r="M179" s="857"/>
      <c r="N179" s="854"/>
      <c r="O179" s="853"/>
      <c r="P179" s="853"/>
      <c r="Q179" s="853"/>
      <c r="R179" s="853"/>
      <c r="S179" s="853"/>
    </row>
    <row r="180" spans="1:20">
      <c r="A180" s="853"/>
      <c r="B180" s="860" t="s">
        <v>190</v>
      </c>
      <c r="C180" s="861">
        <v>100</v>
      </c>
      <c r="D180" s="862">
        <f>((610+2*50)/1000)*3.14*495.46+((610+2*100)/1000)*3.14*495.46</f>
        <v>2364.7314880000004</v>
      </c>
      <c r="E180" s="860">
        <v>0.5</v>
      </c>
      <c r="F180" s="860">
        <v>1.1499999999999999</v>
      </c>
      <c r="G180" s="860">
        <v>1.03</v>
      </c>
      <c r="H180" s="860">
        <v>15.67</v>
      </c>
      <c r="I180" s="866">
        <f>(((D180*E180)*F180)+H180)*G180</f>
        <v>1416.6523237680001</v>
      </c>
      <c r="J180" s="875"/>
      <c r="K180" s="876">
        <f>((610+2*50)/1000)*3.14*43+((610+2*100)/1000)*3.14*43</f>
        <v>205.2304</v>
      </c>
      <c r="L180" s="857"/>
      <c r="M180" s="857"/>
      <c r="N180" s="854"/>
      <c r="O180" s="853"/>
      <c r="P180" s="853"/>
      <c r="Q180" s="853"/>
      <c r="R180" s="853"/>
      <c r="S180" s="853"/>
    </row>
    <row r="181" spans="1:20">
      <c r="A181" s="853"/>
      <c r="B181" s="853"/>
      <c r="C181" s="854"/>
      <c r="D181" s="855"/>
      <c r="E181" s="853"/>
      <c r="F181" s="853"/>
      <c r="G181" s="853"/>
      <c r="H181" s="853"/>
      <c r="I181" s="850"/>
      <c r="J181" s="850"/>
      <c r="K181" s="851"/>
      <c r="L181" s="857"/>
      <c r="M181" s="857"/>
      <c r="N181" s="854"/>
      <c r="O181" s="853"/>
      <c r="P181" s="853"/>
      <c r="Q181" s="853"/>
      <c r="R181" s="853"/>
      <c r="S181" s="853"/>
    </row>
    <row r="182" spans="1:20">
      <c r="A182" s="853"/>
      <c r="B182" s="853"/>
      <c r="C182" s="854"/>
      <c r="D182" s="855"/>
      <c r="E182" s="853"/>
      <c r="F182" s="853"/>
      <c r="G182" s="853"/>
      <c r="H182" s="853"/>
      <c r="I182" s="850"/>
      <c r="J182" s="850"/>
      <c r="K182" s="851"/>
      <c r="L182" s="869"/>
      <c r="M182" s="193"/>
      <c r="N182" s="681"/>
      <c r="O182" s="133"/>
    </row>
    <row r="183" spans="1:20">
      <c r="A183" s="169"/>
      <c r="B183" s="131" t="s">
        <v>766</v>
      </c>
      <c r="C183" s="132" t="s">
        <v>875</v>
      </c>
      <c r="D183" s="199" t="s">
        <v>876</v>
      </c>
      <c r="E183" s="169"/>
      <c r="F183" s="169"/>
      <c r="G183" s="169"/>
      <c r="H183" s="169"/>
      <c r="I183" s="170"/>
      <c r="J183" s="170"/>
      <c r="K183" s="190"/>
      <c r="L183" s="200"/>
      <c r="M183" s="200"/>
      <c r="N183" s="201"/>
      <c r="O183" s="131"/>
      <c r="P183" s="132"/>
      <c r="Q183" s="189"/>
      <c r="R183" s="169"/>
      <c r="S183" s="169"/>
      <c r="T183" s="169"/>
    </row>
    <row r="184" spans="1:20">
      <c r="B184" s="11" t="s">
        <v>769</v>
      </c>
      <c r="C184" s="143" t="s">
        <v>770</v>
      </c>
      <c r="D184" s="174" t="s">
        <v>771</v>
      </c>
      <c r="E184" s="11" t="s">
        <v>613</v>
      </c>
      <c r="F184" s="11" t="s">
        <v>772</v>
      </c>
      <c r="G184" s="11" t="s">
        <v>773</v>
      </c>
      <c r="H184" s="11" t="s">
        <v>774</v>
      </c>
      <c r="I184" s="147" t="s">
        <v>771</v>
      </c>
      <c r="J184" s="147"/>
      <c r="K184" s="191" t="s">
        <v>775</v>
      </c>
      <c r="L184" s="180"/>
      <c r="M184" s="180"/>
      <c r="N184" s="136"/>
      <c r="P184" s="136"/>
      <c r="Q184" s="178"/>
    </row>
    <row r="185" spans="1:20">
      <c r="B185" s="11" t="s">
        <v>47</v>
      </c>
      <c r="C185" s="143">
        <v>10</v>
      </c>
      <c r="D185" s="174">
        <v>8.2899999999999991</v>
      </c>
      <c r="E185" s="11">
        <v>0.5</v>
      </c>
      <c r="F185" s="11">
        <v>1.1000000000000001</v>
      </c>
      <c r="G185" s="11">
        <v>1.03</v>
      </c>
      <c r="H185" s="11">
        <v>1.01</v>
      </c>
      <c r="I185" s="192">
        <f t="shared" ref="I185:I199" si="27">ROUNDUP((((D185*E185)*F185)+H185)*G185,2)</f>
        <v>5.74</v>
      </c>
      <c r="J185" s="173"/>
      <c r="K185" s="197">
        <v>25</v>
      </c>
      <c r="L185" s="202" t="s">
        <v>877</v>
      </c>
      <c r="M185" s="133"/>
      <c r="N185" s="136" t="s">
        <v>276</v>
      </c>
      <c r="P185" s="136"/>
      <c r="Q185" s="178"/>
    </row>
    <row r="186" spans="1:20">
      <c r="B186" s="11" t="s">
        <v>49</v>
      </c>
      <c r="C186" s="143">
        <v>15</v>
      </c>
      <c r="D186" s="174">
        <v>13.2</v>
      </c>
      <c r="E186" s="11">
        <v>0.5</v>
      </c>
      <c r="F186" s="11">
        <v>1.1000000000000001</v>
      </c>
      <c r="G186" s="11">
        <v>1.03</v>
      </c>
      <c r="H186" s="11">
        <v>1.01</v>
      </c>
      <c r="I186" s="192">
        <f t="shared" si="27"/>
        <v>8.52</v>
      </c>
      <c r="J186" s="173"/>
      <c r="K186" s="197">
        <v>25</v>
      </c>
      <c r="L186" s="202" t="s">
        <v>877</v>
      </c>
      <c r="M186" s="133"/>
      <c r="N186" s="136" t="s">
        <v>276</v>
      </c>
      <c r="P186" s="136"/>
      <c r="Q186" s="178"/>
    </row>
    <row r="187" spans="1:20">
      <c r="B187" s="11" t="s">
        <v>51</v>
      </c>
      <c r="C187" s="143">
        <v>15</v>
      </c>
      <c r="D187" s="174">
        <v>15.7</v>
      </c>
      <c r="E187" s="11">
        <v>0.5</v>
      </c>
      <c r="F187" s="11">
        <v>1.1000000000000001</v>
      </c>
      <c r="G187" s="11">
        <v>1.03</v>
      </c>
      <c r="H187" s="11">
        <v>1.4</v>
      </c>
      <c r="I187" s="192">
        <f t="shared" si="27"/>
        <v>10.34</v>
      </c>
      <c r="J187" s="173"/>
      <c r="K187" s="197">
        <v>25</v>
      </c>
      <c r="L187" s="202" t="s">
        <v>877</v>
      </c>
      <c r="M187" s="133"/>
      <c r="N187" s="136" t="s">
        <v>276</v>
      </c>
      <c r="P187" s="136"/>
      <c r="Q187" s="178"/>
    </row>
    <row r="188" spans="1:20">
      <c r="B188" s="11" t="s">
        <v>53</v>
      </c>
      <c r="C188" s="143">
        <v>15</v>
      </c>
      <c r="D188" s="174">
        <v>18</v>
      </c>
      <c r="E188" s="11">
        <v>0.5</v>
      </c>
      <c r="F188" s="11">
        <v>1.1000000000000001</v>
      </c>
      <c r="G188" s="11">
        <v>1.03</v>
      </c>
      <c r="H188" s="11">
        <v>1.4</v>
      </c>
      <c r="I188" s="192">
        <f t="shared" si="27"/>
        <v>11.64</v>
      </c>
      <c r="J188" s="173"/>
      <c r="K188" s="197">
        <v>25</v>
      </c>
      <c r="L188" s="202" t="s">
        <v>877</v>
      </c>
      <c r="M188" s="133"/>
      <c r="N188" s="136" t="s">
        <v>276</v>
      </c>
      <c r="P188" s="136"/>
      <c r="Q188" s="178"/>
    </row>
    <row r="189" spans="1:20">
      <c r="B189" s="11" t="s">
        <v>55</v>
      </c>
      <c r="C189" s="143">
        <v>20</v>
      </c>
      <c r="D189" s="174">
        <v>42.65</v>
      </c>
      <c r="E189" s="11">
        <v>0.5</v>
      </c>
      <c r="F189" s="11">
        <v>1.1000000000000001</v>
      </c>
      <c r="G189" s="11">
        <v>1.03</v>
      </c>
      <c r="H189" s="11">
        <v>1.69</v>
      </c>
      <c r="I189" s="192">
        <f t="shared" si="27"/>
        <v>25.91</v>
      </c>
      <c r="J189" s="173"/>
      <c r="K189" s="197">
        <v>25</v>
      </c>
      <c r="L189" s="202" t="s">
        <v>877</v>
      </c>
      <c r="M189" s="133"/>
      <c r="N189" s="136" t="s">
        <v>276</v>
      </c>
      <c r="P189" s="136"/>
      <c r="Q189" s="178"/>
    </row>
    <row r="190" spans="1:20">
      <c r="B190" s="11" t="s">
        <v>57</v>
      </c>
      <c r="C190" s="143">
        <v>25</v>
      </c>
      <c r="D190" s="174">
        <v>80.97</v>
      </c>
      <c r="E190" s="11">
        <v>0.5</v>
      </c>
      <c r="F190" s="11">
        <v>1.1499999999999999</v>
      </c>
      <c r="G190" s="11">
        <v>1.03</v>
      </c>
      <c r="H190" s="11">
        <v>2.0499999999999998</v>
      </c>
      <c r="I190" s="192">
        <f t="shared" si="27"/>
        <v>50.07</v>
      </c>
      <c r="J190" s="173"/>
      <c r="K190" s="197">
        <v>25</v>
      </c>
      <c r="L190" s="202" t="s">
        <v>877</v>
      </c>
      <c r="M190" s="133"/>
      <c r="N190" s="136" t="s">
        <v>276</v>
      </c>
      <c r="P190" s="136"/>
      <c r="Q190" s="178"/>
    </row>
    <row r="191" spans="1:20">
      <c r="B191" s="11" t="s">
        <v>59</v>
      </c>
      <c r="C191" s="143">
        <v>33</v>
      </c>
      <c r="D191" s="174">
        <v>123.78</v>
      </c>
      <c r="E191" s="11">
        <v>0.5</v>
      </c>
      <c r="F191" s="11">
        <v>1.1499999999999999</v>
      </c>
      <c r="G191" s="11">
        <v>1.03</v>
      </c>
      <c r="H191" s="11">
        <v>2.59</v>
      </c>
      <c r="I191" s="192">
        <f t="shared" si="27"/>
        <v>75.98</v>
      </c>
      <c r="J191" s="173"/>
      <c r="K191" s="197">
        <v>25</v>
      </c>
      <c r="L191" s="202" t="s">
        <v>877</v>
      </c>
      <c r="M191" s="133"/>
      <c r="N191" s="136" t="s">
        <v>276</v>
      </c>
      <c r="P191" s="136"/>
      <c r="Q191" s="178"/>
    </row>
    <row r="192" spans="1:20">
      <c r="B192" s="11" t="s">
        <v>60</v>
      </c>
      <c r="C192" s="143">
        <v>40</v>
      </c>
      <c r="D192" s="174">
        <v>251.43</v>
      </c>
      <c r="E192" s="11">
        <v>0.5</v>
      </c>
      <c r="F192" s="11">
        <v>1.1499999999999999</v>
      </c>
      <c r="G192" s="11">
        <v>1.03</v>
      </c>
      <c r="H192" s="11">
        <v>3.14</v>
      </c>
      <c r="I192" s="192">
        <f t="shared" si="27"/>
        <v>152.14999999999998</v>
      </c>
      <c r="J192" s="173"/>
      <c r="K192" s="197">
        <v>30</v>
      </c>
      <c r="L192" s="202" t="s">
        <v>877</v>
      </c>
      <c r="M192" s="133"/>
      <c r="N192" s="136" t="s">
        <v>276</v>
      </c>
      <c r="P192" s="136"/>
      <c r="Q192" s="178"/>
    </row>
    <row r="193" spans="1:17">
      <c r="B193" s="11" t="s">
        <v>62</v>
      </c>
      <c r="C193" s="143">
        <v>50</v>
      </c>
      <c r="D193" s="174">
        <f>(114.3+2*50)/1000*3.14*381.76</f>
        <v>256.88706752000002</v>
      </c>
      <c r="E193" s="11">
        <v>0.5</v>
      </c>
      <c r="F193" s="11">
        <v>1.1499999999999999</v>
      </c>
      <c r="G193" s="11">
        <v>1.03</v>
      </c>
      <c r="H193" s="11">
        <v>3.86</v>
      </c>
      <c r="I193" s="192">
        <f t="shared" si="27"/>
        <v>156.12</v>
      </c>
      <c r="J193" s="173"/>
      <c r="K193" s="197">
        <v>30</v>
      </c>
      <c r="L193" s="202" t="s">
        <v>878</v>
      </c>
      <c r="M193" s="133"/>
      <c r="N193" s="136" t="s">
        <v>276</v>
      </c>
      <c r="P193" s="136"/>
      <c r="Q193" s="178"/>
    </row>
    <row r="194" spans="1:17">
      <c r="B194" s="11" t="s">
        <v>63</v>
      </c>
      <c r="C194" s="143">
        <v>50</v>
      </c>
      <c r="D194" s="174">
        <f>(133+2*50)/1000*3.14*381.76</f>
        <v>279.30325120000003</v>
      </c>
      <c r="E194" s="11">
        <v>0.5</v>
      </c>
      <c r="F194" s="11">
        <v>1.1499999999999999</v>
      </c>
      <c r="G194" s="11">
        <v>1.03</v>
      </c>
      <c r="H194" s="11">
        <v>4.7699999999999996</v>
      </c>
      <c r="I194" s="192">
        <f t="shared" si="27"/>
        <v>170.34</v>
      </c>
      <c r="J194" s="173"/>
      <c r="K194" s="197">
        <v>35</v>
      </c>
      <c r="L194" s="202" t="s">
        <v>878</v>
      </c>
      <c r="M194" s="133"/>
      <c r="N194" s="136" t="s">
        <v>276</v>
      </c>
      <c r="P194" s="136"/>
      <c r="Q194" s="178"/>
    </row>
    <row r="195" spans="1:17">
      <c r="B195" s="11" t="s">
        <v>66</v>
      </c>
      <c r="C195" s="143">
        <v>50</v>
      </c>
      <c r="D195" s="174">
        <f>(159+2*50)/1000*3.14*381.76</f>
        <v>310.47013760000004</v>
      </c>
      <c r="E195" s="11">
        <v>0.5</v>
      </c>
      <c r="F195" s="11">
        <v>1.1499999999999999</v>
      </c>
      <c r="G195" s="11">
        <v>1.03</v>
      </c>
      <c r="H195" s="11">
        <v>5.67</v>
      </c>
      <c r="I195" s="192">
        <f t="shared" si="27"/>
        <v>189.72</v>
      </c>
      <c r="J195" s="173"/>
      <c r="K195" s="197">
        <f>(159+2*50)/1000*3.14*43</f>
        <v>34.970180000000006</v>
      </c>
      <c r="L195" s="202" t="s">
        <v>878</v>
      </c>
      <c r="M195" s="133"/>
      <c r="N195" s="136" t="s">
        <v>276</v>
      </c>
      <c r="P195" s="136"/>
      <c r="Q195" s="178"/>
    </row>
    <row r="196" spans="1:17">
      <c r="B196" s="11" t="s">
        <v>121</v>
      </c>
      <c r="C196" s="143">
        <v>50</v>
      </c>
      <c r="D196" s="174">
        <f>((219.1+2*50)/1000)*3.14*381.76</f>
        <v>382.51359424000003</v>
      </c>
      <c r="E196" s="11">
        <v>0.5</v>
      </c>
      <c r="F196" s="11">
        <v>1.1499999999999999</v>
      </c>
      <c r="G196" s="11">
        <v>1.03</v>
      </c>
      <c r="H196" s="11">
        <v>5.67</v>
      </c>
      <c r="I196" s="192">
        <f t="shared" si="27"/>
        <v>232.39</v>
      </c>
      <c r="J196" s="173"/>
      <c r="K196" s="197">
        <f>((200+2*50)/1000)*3.14*43</f>
        <v>40.506</v>
      </c>
      <c r="L196" s="202" t="s">
        <v>878</v>
      </c>
      <c r="M196" s="133"/>
      <c r="N196" s="136" t="s">
        <v>276</v>
      </c>
      <c r="P196" s="136"/>
      <c r="Q196" s="178"/>
    </row>
    <row r="197" spans="1:17">
      <c r="B197" s="11" t="s">
        <v>122</v>
      </c>
      <c r="C197" s="143">
        <v>50</v>
      </c>
      <c r="D197" s="174">
        <f>((273+2*50)/1000)*3.14*381.76</f>
        <v>447.12494720000007</v>
      </c>
      <c r="E197" s="11">
        <v>0.5</v>
      </c>
      <c r="F197" s="11">
        <v>1.1499999999999999</v>
      </c>
      <c r="G197" s="11">
        <v>1.03</v>
      </c>
      <c r="H197" s="11">
        <v>5.67</v>
      </c>
      <c r="I197" s="192">
        <f t="shared" si="27"/>
        <v>270.64999999999998</v>
      </c>
      <c r="J197" s="173"/>
      <c r="K197" s="197">
        <f>((250+2*50)/1000)*3.14*43</f>
        <v>47.256999999999998</v>
      </c>
      <c r="L197" s="202" t="s">
        <v>878</v>
      </c>
      <c r="M197" s="133"/>
      <c r="N197" s="136" t="s">
        <v>276</v>
      </c>
      <c r="P197" s="136"/>
      <c r="Q197" s="178"/>
    </row>
    <row r="198" spans="1:17">
      <c r="B198" s="11" t="s">
        <v>156</v>
      </c>
      <c r="C198" s="143">
        <v>50</v>
      </c>
      <c r="D198" s="174">
        <f>((323.9+2*50)/1000)*3.14*381.76</f>
        <v>508.14012095999999</v>
      </c>
      <c r="E198" s="11">
        <v>0.5</v>
      </c>
      <c r="F198" s="11">
        <v>1.1499999999999999</v>
      </c>
      <c r="G198" s="11">
        <v>1.03</v>
      </c>
      <c r="H198" s="11">
        <v>5.67</v>
      </c>
      <c r="I198" s="192">
        <f t="shared" si="27"/>
        <v>306.78999999999996</v>
      </c>
      <c r="J198" s="173"/>
      <c r="K198" s="197">
        <f>((300+2*50)/1000)*3.14*43</f>
        <v>54.00800000000001</v>
      </c>
      <c r="L198" s="202" t="s">
        <v>878</v>
      </c>
      <c r="M198" s="133"/>
      <c r="N198" s="136" t="s">
        <v>276</v>
      </c>
      <c r="P198" s="136"/>
      <c r="Q198" s="178"/>
    </row>
    <row r="199" spans="1:17">
      <c r="B199" s="11" t="s">
        <v>158</v>
      </c>
      <c r="C199" s="143">
        <v>50</v>
      </c>
      <c r="D199" s="174">
        <f>((355.6+2*50)/1000)*3.14*381.76</f>
        <v>546.13974784000004</v>
      </c>
      <c r="E199" s="11">
        <v>0.5</v>
      </c>
      <c r="F199" s="11">
        <v>1.1499999999999999</v>
      </c>
      <c r="G199" s="11">
        <v>1.03</v>
      </c>
      <c r="H199" s="11">
        <v>5.67</v>
      </c>
      <c r="I199" s="192">
        <f t="shared" si="27"/>
        <v>329.3</v>
      </c>
      <c r="J199" s="198"/>
      <c r="K199" s="197">
        <f>((355.6+2*50)/1000)*3.14*43</f>
        <v>61.515112000000002</v>
      </c>
      <c r="L199" s="202" t="s">
        <v>878</v>
      </c>
      <c r="M199" s="180"/>
      <c r="N199" s="136" t="s">
        <v>276</v>
      </c>
      <c r="P199" s="136"/>
      <c r="Q199" s="178"/>
    </row>
    <row r="200" spans="1:17">
      <c r="B200" s="11" t="s">
        <v>176</v>
      </c>
      <c r="C200" s="143">
        <v>50</v>
      </c>
      <c r="D200" s="174">
        <f>((419+2*50)/1000)*3.14*381.76</f>
        <v>622.13900160000003</v>
      </c>
      <c r="E200" s="11">
        <v>0.5</v>
      </c>
      <c r="F200" s="11">
        <v>1.1499999999999999</v>
      </c>
      <c r="G200" s="11">
        <v>1.03</v>
      </c>
      <c r="H200" s="11">
        <v>5.67</v>
      </c>
      <c r="I200" s="192">
        <f>ROUNDUP((((D200*E200)*F200)+H200)*G200,2)</f>
        <v>374.31</v>
      </c>
      <c r="J200" s="198"/>
      <c r="K200" s="197">
        <f>((419+2*50)/1000)*3.14*43</f>
        <v>70.07538000000001</v>
      </c>
      <c r="L200" s="202" t="s">
        <v>878</v>
      </c>
      <c r="M200" s="180"/>
      <c r="N200" s="136" t="s">
        <v>276</v>
      </c>
      <c r="P200" s="136"/>
      <c r="Q200" s="178"/>
    </row>
    <row r="201" spans="1:17">
      <c r="B201" s="11" t="s">
        <v>831</v>
      </c>
      <c r="C201" s="143">
        <v>50</v>
      </c>
      <c r="D201" s="174">
        <f>((459+2*50)/1000)*3.14*381.76</f>
        <v>670.08805760000007</v>
      </c>
      <c r="E201" s="11">
        <v>0.5</v>
      </c>
      <c r="F201" s="11">
        <v>1.1499999999999999</v>
      </c>
      <c r="G201" s="11">
        <v>1.03</v>
      </c>
      <c r="H201" s="11">
        <v>5.67</v>
      </c>
      <c r="I201" s="192">
        <f>ROUNDUP((((D201*E201)*F201)+H201)*G201,2)</f>
        <v>402.7</v>
      </c>
      <c r="J201" s="198"/>
      <c r="K201" s="197">
        <f>((459+2*50)/1000)*3.14*43</f>
        <v>75.476180000000014</v>
      </c>
      <c r="L201" s="202" t="s">
        <v>878</v>
      </c>
      <c r="M201" s="180"/>
      <c r="N201" s="136" t="s">
        <v>276</v>
      </c>
      <c r="P201" s="136"/>
      <c r="Q201" s="178"/>
    </row>
    <row r="202" spans="1:17">
      <c r="B202" s="11" t="s">
        <v>178</v>
      </c>
      <c r="C202" s="143">
        <v>50</v>
      </c>
      <c r="D202" s="174">
        <f>((521+2*50)/1000)*3.14*381.76</f>
        <v>744.40909439999996</v>
      </c>
      <c r="E202" s="11">
        <v>0.5</v>
      </c>
      <c r="F202" s="11">
        <v>1.1499999999999999</v>
      </c>
      <c r="G202" s="11">
        <v>1.03</v>
      </c>
      <c r="H202" s="11">
        <v>5.67</v>
      </c>
      <c r="I202" s="192">
        <f>ROUNDUP((((D202*E202)*F202)+H202)*G202,2)</f>
        <v>446.71999999999997</v>
      </c>
      <c r="J202" s="198"/>
      <c r="K202" s="197">
        <f>((521+2*50)/1000)*3.14*43</f>
        <v>83.84742</v>
      </c>
      <c r="L202" s="202" t="s">
        <v>878</v>
      </c>
      <c r="M202" s="180"/>
      <c r="N202" s="136" t="s">
        <v>276</v>
      </c>
      <c r="P202" s="136"/>
      <c r="Q202" s="178"/>
    </row>
    <row r="203" spans="1:17">
      <c r="B203" s="901" t="s">
        <v>832</v>
      </c>
      <c r="C203" s="902"/>
      <c r="D203" s="902"/>
      <c r="E203" s="902"/>
      <c r="F203" s="902"/>
      <c r="G203" s="902"/>
      <c r="H203" s="902"/>
      <c r="I203" s="902"/>
      <c r="J203" s="903"/>
      <c r="K203" s="197"/>
      <c r="L203" s="202"/>
      <c r="M203" s="180"/>
      <c r="N203" s="136"/>
      <c r="P203" s="136"/>
      <c r="Q203" s="178"/>
    </row>
    <row r="204" spans="1:17">
      <c r="A204" s="853"/>
      <c r="B204" s="860" t="s">
        <v>51</v>
      </c>
      <c r="C204" s="872">
        <v>20</v>
      </c>
      <c r="D204" s="862">
        <v>31.25</v>
      </c>
      <c r="E204" s="860">
        <v>0.5</v>
      </c>
      <c r="F204" s="860">
        <v>1.1000000000000001</v>
      </c>
      <c r="G204" s="860">
        <v>1.03</v>
      </c>
      <c r="H204" s="860">
        <v>1.4</v>
      </c>
      <c r="I204" s="866">
        <f t="shared" ref="I204:I211" si="28">ROUNDUP((((D204*E204)*F204)+H204)*G204,2)</f>
        <v>19.150000000000002</v>
      </c>
      <c r="J204" s="867"/>
      <c r="K204" s="868">
        <v>25</v>
      </c>
      <c r="L204" s="881" t="s">
        <v>877</v>
      </c>
      <c r="M204" s="857"/>
      <c r="N204" s="854"/>
      <c r="O204" s="853"/>
      <c r="P204" s="136"/>
      <c r="Q204" s="178"/>
    </row>
    <row r="205" spans="1:17">
      <c r="A205" s="853"/>
      <c r="B205" s="860" t="s">
        <v>51</v>
      </c>
      <c r="C205" s="872">
        <v>25</v>
      </c>
      <c r="D205" s="862">
        <v>40.75</v>
      </c>
      <c r="E205" s="860">
        <v>0.5</v>
      </c>
      <c r="F205" s="860">
        <v>1.1000000000000001</v>
      </c>
      <c r="G205" s="860">
        <v>1.03</v>
      </c>
      <c r="H205" s="860">
        <v>1.4</v>
      </c>
      <c r="I205" s="866">
        <f t="shared" si="28"/>
        <v>24.53</v>
      </c>
      <c r="J205" s="867"/>
      <c r="K205" s="868">
        <v>25</v>
      </c>
      <c r="L205" s="881" t="s">
        <v>877</v>
      </c>
      <c r="M205" s="857"/>
      <c r="N205" s="854"/>
      <c r="O205" s="853"/>
      <c r="P205" s="136"/>
      <c r="Q205" s="178"/>
    </row>
    <row r="206" spans="1:17">
      <c r="A206" s="853"/>
      <c r="B206" s="860" t="s">
        <v>53</v>
      </c>
      <c r="C206" s="872">
        <v>25</v>
      </c>
      <c r="D206" s="862">
        <v>56.02</v>
      </c>
      <c r="E206" s="860">
        <v>0.5</v>
      </c>
      <c r="F206" s="860">
        <v>1.1000000000000001</v>
      </c>
      <c r="G206" s="860">
        <v>1.03</v>
      </c>
      <c r="H206" s="860">
        <v>1.4</v>
      </c>
      <c r="I206" s="866">
        <f t="shared" si="28"/>
        <v>33.18</v>
      </c>
      <c r="J206" s="867"/>
      <c r="K206" s="868">
        <v>25</v>
      </c>
      <c r="L206" s="881" t="s">
        <v>877</v>
      </c>
      <c r="M206" s="857"/>
      <c r="N206" s="854"/>
      <c r="O206" s="853"/>
      <c r="P206" s="136"/>
      <c r="Q206" s="178"/>
    </row>
    <row r="207" spans="1:17">
      <c r="A207" s="853"/>
      <c r="B207" s="860" t="s">
        <v>55</v>
      </c>
      <c r="C207" s="872">
        <v>25</v>
      </c>
      <c r="D207" s="862">
        <v>65.87</v>
      </c>
      <c r="E207" s="860">
        <v>0.5</v>
      </c>
      <c r="F207" s="860">
        <v>1.1000000000000001</v>
      </c>
      <c r="G207" s="860">
        <v>1.03</v>
      </c>
      <c r="H207" s="860">
        <v>1.69</v>
      </c>
      <c r="I207" s="866">
        <f t="shared" si="28"/>
        <v>39.059999999999995</v>
      </c>
      <c r="J207" s="867"/>
      <c r="K207" s="868">
        <v>25</v>
      </c>
      <c r="L207" s="881" t="s">
        <v>877</v>
      </c>
      <c r="M207" s="857"/>
      <c r="N207" s="854"/>
      <c r="O207" s="853"/>
      <c r="P207" s="136"/>
      <c r="Q207" s="178"/>
    </row>
    <row r="208" spans="1:17">
      <c r="A208" s="853"/>
      <c r="B208" s="860" t="s">
        <v>57</v>
      </c>
      <c r="C208" s="872">
        <v>32</v>
      </c>
      <c r="D208" s="862">
        <v>104</v>
      </c>
      <c r="E208" s="860">
        <v>0.5</v>
      </c>
      <c r="F208" s="860">
        <v>1.1499999999999999</v>
      </c>
      <c r="G208" s="860">
        <v>1.03</v>
      </c>
      <c r="H208" s="860">
        <v>2.0499999999999998</v>
      </c>
      <c r="I208" s="866">
        <f t="shared" si="28"/>
        <v>63.71</v>
      </c>
      <c r="J208" s="867"/>
      <c r="K208" s="868">
        <v>25</v>
      </c>
      <c r="L208" s="881" t="s">
        <v>877</v>
      </c>
      <c r="M208" s="857"/>
      <c r="N208" s="854"/>
      <c r="O208" s="853"/>
      <c r="P208" s="136"/>
      <c r="Q208" s="178"/>
    </row>
    <row r="209" spans="1:20">
      <c r="A209" s="853"/>
      <c r="B209" s="860" t="s">
        <v>59</v>
      </c>
      <c r="C209" s="872">
        <v>25</v>
      </c>
      <c r="D209" s="862">
        <v>95.33</v>
      </c>
      <c r="E209" s="860">
        <v>0.5</v>
      </c>
      <c r="F209" s="860">
        <v>1.1499999999999999</v>
      </c>
      <c r="G209" s="860">
        <v>1.03</v>
      </c>
      <c r="H209" s="860">
        <v>2.59</v>
      </c>
      <c r="I209" s="866">
        <f t="shared" si="28"/>
        <v>59.129999999999995</v>
      </c>
      <c r="J209" s="867"/>
      <c r="K209" s="868">
        <v>25</v>
      </c>
      <c r="L209" s="881" t="s">
        <v>877</v>
      </c>
      <c r="M209" s="857"/>
      <c r="N209" s="854"/>
      <c r="O209" s="853"/>
      <c r="P209" s="136"/>
      <c r="Q209" s="178"/>
    </row>
    <row r="210" spans="1:20">
      <c r="A210" s="853"/>
      <c r="B210" s="860" t="s">
        <v>59</v>
      </c>
      <c r="C210" s="872">
        <v>40</v>
      </c>
      <c r="D210" s="862">
        <v>247.12</v>
      </c>
      <c r="E210" s="860">
        <v>0.5</v>
      </c>
      <c r="F210" s="860">
        <v>1.1499999999999999</v>
      </c>
      <c r="G210" s="860">
        <v>1.03</v>
      </c>
      <c r="H210" s="860">
        <v>2.59</v>
      </c>
      <c r="I210" s="866">
        <f t="shared" si="28"/>
        <v>149.03</v>
      </c>
      <c r="J210" s="867"/>
      <c r="K210" s="868">
        <v>25</v>
      </c>
      <c r="L210" s="881" t="s">
        <v>877</v>
      </c>
      <c r="M210" s="857"/>
      <c r="N210" s="854"/>
      <c r="O210" s="853"/>
      <c r="P210" s="136"/>
      <c r="Q210" s="178"/>
    </row>
    <row r="211" spans="1:20">
      <c r="A211" s="853"/>
      <c r="B211" s="860" t="s">
        <v>60</v>
      </c>
      <c r="C211" s="872">
        <v>50</v>
      </c>
      <c r="D211" s="862">
        <f>(88.9+2*50)/1000*3.14*381.76</f>
        <v>226.43941696000002</v>
      </c>
      <c r="E211" s="860">
        <v>0.5</v>
      </c>
      <c r="F211" s="860">
        <v>1.1499999999999999</v>
      </c>
      <c r="G211" s="860">
        <v>1.03</v>
      </c>
      <c r="H211" s="860">
        <v>3.14</v>
      </c>
      <c r="I211" s="866">
        <f t="shared" si="28"/>
        <v>137.35</v>
      </c>
      <c r="J211" s="867"/>
      <c r="K211" s="868">
        <v>30</v>
      </c>
      <c r="L211" s="881" t="s">
        <v>878</v>
      </c>
      <c r="M211" s="857"/>
      <c r="N211" s="854"/>
      <c r="O211" s="853"/>
      <c r="P211" s="136"/>
      <c r="Q211" s="178"/>
    </row>
    <row r="212" spans="1:20">
      <c r="A212" s="853"/>
      <c r="B212" s="882"/>
      <c r="C212" s="883"/>
      <c r="D212" s="883"/>
      <c r="E212" s="883"/>
      <c r="F212" s="883"/>
      <c r="G212" s="883"/>
      <c r="H212" s="883"/>
      <c r="I212" s="883"/>
      <c r="J212" s="884"/>
      <c r="K212" s="868"/>
      <c r="L212" s="881"/>
      <c r="M212" s="857"/>
      <c r="N212" s="854"/>
      <c r="O212" s="853"/>
      <c r="P212" s="136"/>
      <c r="Q212" s="178"/>
    </row>
    <row r="213" spans="1:20">
      <c r="A213" s="853"/>
      <c r="B213" s="860" t="s">
        <v>62</v>
      </c>
      <c r="C213" s="872">
        <v>25</v>
      </c>
      <c r="D213" s="862">
        <f>(114.3+2*25)/1000*3.14*175.36</f>
        <v>90.468574720000007</v>
      </c>
      <c r="E213" s="860">
        <v>0.5</v>
      </c>
      <c r="F213" s="860">
        <v>1.1499999999999999</v>
      </c>
      <c r="G213" s="860">
        <v>1.03</v>
      </c>
      <c r="H213" s="860">
        <v>3.86</v>
      </c>
      <c r="I213" s="866">
        <f t="shared" ref="I213:I218" si="29">ROUNDUP((((D213*E213)*F213)+H213)*G213,2)</f>
        <v>57.559999999999995</v>
      </c>
      <c r="J213" s="867"/>
      <c r="K213" s="868">
        <f>(114.3+2*25)/1000*3.14*43</f>
        <v>22.183785999999998</v>
      </c>
      <c r="L213" s="881" t="s">
        <v>878</v>
      </c>
      <c r="M213" s="850"/>
      <c r="N213" s="854"/>
      <c r="O213" s="853"/>
      <c r="P213" s="136"/>
      <c r="Q213" s="178"/>
    </row>
    <row r="214" spans="1:20">
      <c r="A214" s="853"/>
      <c r="B214" s="860" t="s">
        <v>63</v>
      </c>
      <c r="C214" s="872">
        <v>25</v>
      </c>
      <c r="D214" s="862">
        <f>(133+2*25)/1000*3.14*175.36</f>
        <v>100.76536320000001</v>
      </c>
      <c r="E214" s="860">
        <v>0.5</v>
      </c>
      <c r="F214" s="860">
        <v>1.1499999999999999</v>
      </c>
      <c r="G214" s="860">
        <v>1.03</v>
      </c>
      <c r="H214" s="860">
        <v>4.7699999999999996</v>
      </c>
      <c r="I214" s="866">
        <f t="shared" si="29"/>
        <v>64.600000000000009</v>
      </c>
      <c r="J214" s="867"/>
      <c r="K214" s="868">
        <f>(133+2*25)/1000*3.14*43</f>
        <v>24.708660000000002</v>
      </c>
      <c r="L214" s="881" t="s">
        <v>878</v>
      </c>
      <c r="M214" s="850"/>
      <c r="N214" s="854"/>
      <c r="O214" s="853"/>
      <c r="P214" s="136"/>
      <c r="Q214" s="178"/>
    </row>
    <row r="215" spans="1:20">
      <c r="A215" s="853"/>
      <c r="B215" s="860" t="s">
        <v>66</v>
      </c>
      <c r="C215" s="872">
        <v>25</v>
      </c>
      <c r="D215" s="862">
        <f>(159+2*25)/1000*3.14*175.36</f>
        <v>115.0817536</v>
      </c>
      <c r="E215" s="860">
        <v>0.5</v>
      </c>
      <c r="F215" s="860">
        <v>1.1499999999999999</v>
      </c>
      <c r="G215" s="860">
        <v>1.03</v>
      </c>
      <c r="H215" s="860">
        <v>5.67</v>
      </c>
      <c r="I215" s="866">
        <f t="shared" si="29"/>
        <v>74</v>
      </c>
      <c r="J215" s="867"/>
      <c r="K215" s="868">
        <f>(159+2*25)/1000*3.14*43</f>
        <v>28.219179999999998</v>
      </c>
      <c r="L215" s="881" t="s">
        <v>878</v>
      </c>
      <c r="M215" s="850"/>
      <c r="N215" s="854"/>
      <c r="O215" s="853"/>
      <c r="P215" s="136"/>
      <c r="Q215" s="178"/>
    </row>
    <row r="216" spans="1:20">
      <c r="A216" s="853"/>
      <c r="B216" s="860" t="s">
        <v>121</v>
      </c>
      <c r="C216" s="872">
        <v>25</v>
      </c>
      <c r="D216" s="862">
        <f>((219.1+2*25)/1000)*3.14*175.36</f>
        <v>148.17464064000001</v>
      </c>
      <c r="E216" s="860">
        <v>0.5</v>
      </c>
      <c r="F216" s="860">
        <v>1.1499999999999999</v>
      </c>
      <c r="G216" s="860">
        <v>1.03</v>
      </c>
      <c r="H216" s="860">
        <v>5.67</v>
      </c>
      <c r="I216" s="866">
        <f t="shared" si="29"/>
        <v>93.600000000000009</v>
      </c>
      <c r="J216" s="867"/>
      <c r="K216" s="868">
        <f>((250+2*50)/1000)*3.14*43</f>
        <v>47.256999999999998</v>
      </c>
      <c r="L216" s="881" t="s">
        <v>878</v>
      </c>
      <c r="M216" s="850"/>
      <c r="N216" s="854"/>
      <c r="O216" s="853"/>
      <c r="P216" s="136"/>
      <c r="Q216" s="178"/>
    </row>
    <row r="217" spans="1:20">
      <c r="A217" s="853"/>
      <c r="B217" s="860" t="s">
        <v>122</v>
      </c>
      <c r="C217" s="872">
        <v>25</v>
      </c>
      <c r="D217" s="862">
        <f>((273+2*25)/1000)*3.14*175.36</f>
        <v>177.85361920000003</v>
      </c>
      <c r="E217" s="860">
        <v>0.5</v>
      </c>
      <c r="F217" s="860">
        <v>1.1499999999999999</v>
      </c>
      <c r="G217" s="860">
        <v>1.03</v>
      </c>
      <c r="H217" s="860">
        <v>5.67</v>
      </c>
      <c r="I217" s="866">
        <f t="shared" si="29"/>
        <v>111.18</v>
      </c>
      <c r="J217" s="867"/>
      <c r="K217" s="868">
        <f>((250+2*50)/1000)*3.14*43</f>
        <v>47.256999999999998</v>
      </c>
      <c r="L217" s="881" t="s">
        <v>878</v>
      </c>
      <c r="M217" s="850"/>
      <c r="N217" s="854"/>
      <c r="O217" s="853"/>
      <c r="P217" s="136"/>
      <c r="Q217" s="178"/>
    </row>
    <row r="218" spans="1:20">
      <c r="A218" s="853"/>
      <c r="B218" s="860" t="s">
        <v>156</v>
      </c>
      <c r="C218" s="872">
        <v>25</v>
      </c>
      <c r="D218" s="862">
        <f>((323.9+2*25)/1000)*3.14*175.36</f>
        <v>205.88070655999999</v>
      </c>
      <c r="E218" s="860">
        <v>0.5</v>
      </c>
      <c r="F218" s="860">
        <v>1.1499999999999999</v>
      </c>
      <c r="G218" s="860">
        <v>1.03</v>
      </c>
      <c r="H218" s="860">
        <v>5.67</v>
      </c>
      <c r="I218" s="866">
        <f t="shared" si="29"/>
        <v>127.78</v>
      </c>
      <c r="J218" s="867"/>
      <c r="K218" s="862">
        <f>((323.9+2*25)/1000)*3.14*43</f>
        <v>50.483977999999993</v>
      </c>
      <c r="L218" s="881" t="s">
        <v>878</v>
      </c>
      <c r="M218" s="850"/>
      <c r="N218" s="854"/>
      <c r="O218" s="853"/>
      <c r="P218" s="136"/>
      <c r="Q218" s="178"/>
    </row>
    <row r="219" spans="1:20">
      <c r="C219" s="136"/>
      <c r="D219" s="178"/>
      <c r="I219" s="133"/>
      <c r="J219" s="133"/>
      <c r="K219" s="179"/>
      <c r="L219" s="180"/>
      <c r="M219" s="180"/>
      <c r="N219" s="136"/>
      <c r="P219" s="136"/>
      <c r="Q219" s="178"/>
    </row>
    <row r="220" spans="1:20">
      <c r="A220" s="169"/>
      <c r="B220" s="131" t="s">
        <v>879</v>
      </c>
      <c r="C220" s="132" t="s">
        <v>875</v>
      </c>
      <c r="D220" s="199" t="s">
        <v>876</v>
      </c>
      <c r="E220" s="169"/>
      <c r="F220" s="169"/>
      <c r="G220" s="169"/>
      <c r="H220" s="169"/>
      <c r="I220" s="170"/>
      <c r="J220" s="170"/>
      <c r="K220" s="190"/>
      <c r="L220" s="200"/>
      <c r="M220" s="200"/>
      <c r="N220" s="201"/>
      <c r="O220" s="131"/>
      <c r="P220" s="132"/>
      <c r="Q220" s="189"/>
      <c r="R220" s="169"/>
      <c r="S220" s="169"/>
      <c r="T220" s="169"/>
    </row>
    <row r="221" spans="1:20">
      <c r="B221" s="11" t="s">
        <v>769</v>
      </c>
      <c r="C221" s="143" t="s">
        <v>770</v>
      </c>
      <c r="D221" s="174" t="s">
        <v>771</v>
      </c>
      <c r="E221" s="11" t="s">
        <v>613</v>
      </c>
      <c r="F221" s="11" t="s">
        <v>772</v>
      </c>
      <c r="G221" s="11" t="s">
        <v>773</v>
      </c>
      <c r="H221" s="11" t="s">
        <v>774</v>
      </c>
      <c r="I221" s="147" t="s">
        <v>771</v>
      </c>
      <c r="J221" s="147"/>
      <c r="K221" s="191" t="s">
        <v>775</v>
      </c>
      <c r="L221" s="180"/>
      <c r="M221" s="180"/>
      <c r="N221" s="136"/>
      <c r="P221" s="136"/>
      <c r="Q221" s="178"/>
    </row>
    <row r="222" spans="1:20">
      <c r="B222" s="11" t="s">
        <v>47</v>
      </c>
      <c r="C222" s="143">
        <v>20</v>
      </c>
      <c r="D222" s="174">
        <v>22.25</v>
      </c>
      <c r="E222" s="11">
        <v>0.5</v>
      </c>
      <c r="F222" s="11">
        <v>1.1000000000000001</v>
      </c>
      <c r="G222" s="11">
        <v>1.03</v>
      </c>
      <c r="H222" s="11">
        <v>1.01</v>
      </c>
      <c r="I222" s="192">
        <f t="shared" ref="I222:I237" si="30">ROUNDUP((((D222*E222)*F222)+H222)*G222,2)</f>
        <v>13.65</v>
      </c>
      <c r="J222" s="173"/>
      <c r="K222" s="197">
        <v>25</v>
      </c>
      <c r="L222" s="202" t="s">
        <v>877</v>
      </c>
      <c r="M222" s="133"/>
      <c r="N222" s="136"/>
      <c r="P222" s="136"/>
      <c r="Q222" s="178"/>
    </row>
    <row r="223" spans="1:20">
      <c r="B223" s="11" t="s">
        <v>49</v>
      </c>
      <c r="C223" s="143">
        <v>30</v>
      </c>
      <c r="D223" s="174">
        <v>54.09</v>
      </c>
      <c r="E223" s="11">
        <v>0.5</v>
      </c>
      <c r="F223" s="11">
        <v>1.1000000000000001</v>
      </c>
      <c r="G223" s="11">
        <v>1.03</v>
      </c>
      <c r="H223" s="11">
        <v>1.01</v>
      </c>
      <c r="I223" s="192">
        <f t="shared" si="30"/>
        <v>31.69</v>
      </c>
      <c r="J223" s="173"/>
      <c r="K223" s="197">
        <v>25</v>
      </c>
      <c r="L223" s="202" t="s">
        <v>877</v>
      </c>
      <c r="M223" s="133"/>
      <c r="N223" s="136"/>
      <c r="P223" s="136"/>
      <c r="Q223" s="178"/>
    </row>
    <row r="224" spans="1:20">
      <c r="B224" s="11" t="s">
        <v>51</v>
      </c>
      <c r="C224" s="143">
        <v>30</v>
      </c>
      <c r="D224" s="174">
        <v>62.85</v>
      </c>
      <c r="E224" s="11">
        <v>0.5</v>
      </c>
      <c r="F224" s="11">
        <v>1.1000000000000001</v>
      </c>
      <c r="G224" s="11">
        <v>1.03</v>
      </c>
      <c r="H224" s="11">
        <v>1.4</v>
      </c>
      <c r="I224" s="192">
        <f t="shared" si="30"/>
        <v>37.049999999999997</v>
      </c>
      <c r="J224" s="173"/>
      <c r="K224" s="197">
        <v>25</v>
      </c>
      <c r="L224" s="202" t="s">
        <v>877</v>
      </c>
      <c r="M224" s="133"/>
      <c r="N224" s="136"/>
      <c r="P224" s="136"/>
      <c r="Q224" s="178"/>
    </row>
    <row r="225" spans="2:17">
      <c r="B225" s="11" t="s">
        <v>53</v>
      </c>
      <c r="C225" s="143">
        <v>30</v>
      </c>
      <c r="D225" s="174">
        <v>77.16</v>
      </c>
      <c r="E225" s="11">
        <v>0.5</v>
      </c>
      <c r="F225" s="11">
        <v>1.1000000000000001</v>
      </c>
      <c r="G225" s="11">
        <v>1.03</v>
      </c>
      <c r="H225" s="11">
        <v>1.4</v>
      </c>
      <c r="I225" s="192">
        <f t="shared" si="30"/>
        <v>45.16</v>
      </c>
      <c r="J225" s="173"/>
      <c r="K225" s="197">
        <v>25</v>
      </c>
      <c r="L225" s="202" t="s">
        <v>877</v>
      </c>
      <c r="M225" s="133"/>
      <c r="N225" s="136"/>
      <c r="P225" s="136"/>
      <c r="Q225" s="178"/>
    </row>
    <row r="226" spans="2:17">
      <c r="B226" s="11" t="s">
        <v>55</v>
      </c>
      <c r="C226" s="143">
        <v>40</v>
      </c>
      <c r="D226" s="174">
        <v>165.06</v>
      </c>
      <c r="E226" s="11">
        <v>0.5</v>
      </c>
      <c r="F226" s="11">
        <v>1.1000000000000001</v>
      </c>
      <c r="G226" s="11">
        <v>1.03</v>
      </c>
      <c r="H226" s="11">
        <v>1.69</v>
      </c>
      <c r="I226" s="192">
        <f t="shared" si="30"/>
        <v>95.25</v>
      </c>
      <c r="J226" s="173"/>
      <c r="K226" s="197">
        <v>25</v>
      </c>
      <c r="L226" s="202" t="s">
        <v>877</v>
      </c>
      <c r="M226" s="133"/>
      <c r="N226" s="136"/>
      <c r="P226" s="136"/>
      <c r="Q226" s="178"/>
    </row>
    <row r="227" spans="2:17">
      <c r="B227" s="11" t="s">
        <v>57</v>
      </c>
      <c r="C227" s="143">
        <v>50</v>
      </c>
      <c r="D227" s="174">
        <v>381.56</v>
      </c>
      <c r="E227" s="11">
        <v>0.5</v>
      </c>
      <c r="F227" s="11">
        <v>1.1499999999999999</v>
      </c>
      <c r="G227" s="11">
        <v>1.03</v>
      </c>
      <c r="H227" s="11">
        <v>2.0499999999999998</v>
      </c>
      <c r="I227" s="192">
        <f t="shared" si="30"/>
        <v>228.1</v>
      </c>
      <c r="J227" s="173"/>
      <c r="K227" s="197">
        <v>25</v>
      </c>
      <c r="L227" s="202" t="s">
        <v>877</v>
      </c>
      <c r="M227" s="133"/>
      <c r="N227" s="136"/>
      <c r="P227" s="136"/>
      <c r="Q227" s="178"/>
    </row>
    <row r="228" spans="2:17">
      <c r="B228" s="11" t="s">
        <v>59</v>
      </c>
      <c r="C228" s="143">
        <v>70</v>
      </c>
      <c r="D228" s="174">
        <f>381.56+(76.1+2*70)/1000*3.14*137.38</f>
        <v>474.77974852</v>
      </c>
      <c r="E228" s="11">
        <v>0.5</v>
      </c>
      <c r="F228" s="11">
        <v>1.1499999999999999</v>
      </c>
      <c r="G228" s="11">
        <v>1.03</v>
      </c>
      <c r="H228" s="11">
        <v>2.59</v>
      </c>
      <c r="I228" s="192">
        <f t="shared" si="30"/>
        <v>283.86</v>
      </c>
      <c r="J228" s="173"/>
      <c r="K228" s="197">
        <f>21++(76.1+2*70)/1000*3.14*43</f>
        <v>50.177821999999999</v>
      </c>
      <c r="L228" s="202" t="s">
        <v>880</v>
      </c>
      <c r="M228" s="133"/>
      <c r="N228" s="136"/>
      <c r="P228" s="136"/>
      <c r="Q228" s="178"/>
    </row>
    <row r="229" spans="2:17">
      <c r="B229" s="11" t="s">
        <v>60</v>
      </c>
      <c r="C229" s="143">
        <v>80</v>
      </c>
      <c r="D229" s="174">
        <f>581.4+(88.9+2*80)/1000*3.14*222.85</f>
        <v>755.56752610000001</v>
      </c>
      <c r="E229" s="11">
        <v>0.5</v>
      </c>
      <c r="F229" s="11">
        <v>1.1499999999999999</v>
      </c>
      <c r="G229" s="11">
        <v>1.03</v>
      </c>
      <c r="H229" s="11">
        <v>3.14</v>
      </c>
      <c r="I229" s="192">
        <f t="shared" si="30"/>
        <v>450.71999999999997</v>
      </c>
      <c r="J229" s="173"/>
      <c r="K229" s="197">
        <f>26++(88.9+2*80)/1000*3.14*43</f>
        <v>59.606478000000003</v>
      </c>
      <c r="L229" s="202" t="s">
        <v>880</v>
      </c>
      <c r="M229" s="133"/>
      <c r="N229" s="136"/>
      <c r="P229" s="136"/>
      <c r="Q229" s="178"/>
    </row>
    <row r="230" spans="2:17">
      <c r="B230" s="11" t="s">
        <v>62</v>
      </c>
      <c r="C230" s="143">
        <v>100</v>
      </c>
      <c r="D230" s="174">
        <f>(114.3+2*50)/1000*3.14*381.76+(114.3+2*100)/1000*3.14*381.76</f>
        <v>633.64677504000008</v>
      </c>
      <c r="E230" s="11">
        <v>0.5</v>
      </c>
      <c r="F230" s="11">
        <v>1.1499999999999999</v>
      </c>
      <c r="G230" s="11">
        <v>1.03</v>
      </c>
      <c r="H230" s="11">
        <v>3.86</v>
      </c>
      <c r="I230" s="192">
        <f t="shared" si="30"/>
        <v>379.26</v>
      </c>
      <c r="J230" s="173"/>
      <c r="K230" s="197">
        <f>(114.3+2*50)/1000*3.14*43+(114.3+2*100)/1000*3.14*43</f>
        <v>71.371572000000015</v>
      </c>
      <c r="L230" s="202" t="s">
        <v>878</v>
      </c>
      <c r="M230" s="133"/>
      <c r="N230" s="136"/>
      <c r="P230" s="136"/>
      <c r="Q230" s="178"/>
    </row>
    <row r="231" spans="2:17">
      <c r="B231" s="11" t="s">
        <v>63</v>
      </c>
      <c r="C231" s="143">
        <v>100</v>
      </c>
      <c r="D231" s="174">
        <f>(133+2*50)/1000*3.14*381.76+(133+2*100)/1000*3.14*381.76</f>
        <v>678.4791424</v>
      </c>
      <c r="E231" s="11">
        <v>0.5</v>
      </c>
      <c r="F231" s="11">
        <v>1.1499999999999999</v>
      </c>
      <c r="G231" s="11">
        <v>1.03</v>
      </c>
      <c r="H231" s="11">
        <v>4.7699999999999996</v>
      </c>
      <c r="I231" s="192">
        <f t="shared" si="30"/>
        <v>406.75</v>
      </c>
      <c r="J231" s="173"/>
      <c r="K231" s="197">
        <f>(133+2*50)/1000*3.14*43+(133+2*100)/1000*3.14*43</f>
        <v>76.421320000000009</v>
      </c>
      <c r="L231" s="202" t="s">
        <v>878</v>
      </c>
      <c r="M231" s="133"/>
      <c r="N231" s="136"/>
      <c r="P231" s="136"/>
      <c r="Q231" s="178"/>
    </row>
    <row r="232" spans="2:17">
      <c r="B232" s="11" t="s">
        <v>66</v>
      </c>
      <c r="C232" s="143">
        <v>100</v>
      </c>
      <c r="D232" s="174">
        <f>(159+2*50)/1000*3.14*381.76+(159+2*100)/1000*3.14*381.76</f>
        <v>740.81291520000002</v>
      </c>
      <c r="E232" s="11">
        <v>0.5</v>
      </c>
      <c r="F232" s="11">
        <v>1.1499999999999999</v>
      </c>
      <c r="G232" s="11">
        <v>1.03</v>
      </c>
      <c r="H232" s="11">
        <v>5.67</v>
      </c>
      <c r="I232" s="192">
        <f t="shared" si="30"/>
        <v>444.59</v>
      </c>
      <c r="J232" s="173"/>
      <c r="K232" s="197">
        <f>(159+2*50)/1000*3.14*43+(159+2*100)/1000*3.14*43</f>
        <v>83.442360000000008</v>
      </c>
      <c r="L232" s="202" t="s">
        <v>878</v>
      </c>
      <c r="M232" s="133"/>
      <c r="N232" s="136"/>
      <c r="P232" s="136"/>
      <c r="Q232" s="178"/>
    </row>
    <row r="233" spans="2:17">
      <c r="B233" s="11" t="s">
        <v>66</v>
      </c>
      <c r="C233" s="143">
        <v>120</v>
      </c>
      <c r="D233" s="174">
        <f>(159+2*50)/1000*3.14*381.76+(159+2*100)/1000*3.14*381.76+(159+2*120)/1000*3.14*137.38</f>
        <v>912.93082200000003</v>
      </c>
      <c r="E233" s="11">
        <v>0.5</v>
      </c>
      <c r="F233" s="11">
        <v>1.1499999999999999</v>
      </c>
      <c r="G233" s="11">
        <v>1.03</v>
      </c>
      <c r="H233" s="11">
        <v>5.67</v>
      </c>
      <c r="I233" s="192">
        <f>ROUNDUP((((D233*E233)*F233)+H233)*G233,2)</f>
        <v>546.53</v>
      </c>
      <c r="J233" s="173"/>
      <c r="K233" s="197">
        <f>(159+2*50)/1000*3.14*43+(159+2*100)/1000*3.14*43+(159+2*120)/1000*3.14*43</f>
        <v>137.31534000000002</v>
      </c>
      <c r="L233" s="202" t="s">
        <v>878</v>
      </c>
      <c r="M233" s="133"/>
      <c r="N233" s="136"/>
      <c r="P233" s="136"/>
      <c r="Q233" s="178"/>
    </row>
    <row r="234" spans="2:17">
      <c r="B234" s="11" t="s">
        <v>121</v>
      </c>
      <c r="C234" s="143">
        <v>100</v>
      </c>
      <c r="D234" s="174">
        <f>((219.1+2*50)/1000)*3.14*381.76+((219.1+2*100)/1000)*3.14*381.76</f>
        <v>884.89982848000011</v>
      </c>
      <c r="E234" s="11">
        <v>0.5</v>
      </c>
      <c r="F234" s="11">
        <v>1.1499999999999999</v>
      </c>
      <c r="G234" s="11">
        <v>1.03</v>
      </c>
      <c r="H234" s="11">
        <v>5.67</v>
      </c>
      <c r="I234" s="192">
        <f t="shared" si="30"/>
        <v>529.92999999999995</v>
      </c>
      <c r="J234" s="173"/>
      <c r="K234" s="197">
        <f>((200+2*50)/1000)*3.14*43+((219.1+2*100)/1000)*3.14*43</f>
        <v>97.092882000000003</v>
      </c>
      <c r="L234" s="202" t="s">
        <v>878</v>
      </c>
      <c r="M234" s="133"/>
      <c r="N234" s="136"/>
      <c r="P234" s="136"/>
      <c r="Q234" s="178"/>
    </row>
    <row r="235" spans="2:17">
      <c r="B235" s="11" t="s">
        <v>122</v>
      </c>
      <c r="C235" s="143">
        <v>100</v>
      </c>
      <c r="D235" s="174">
        <f>((273+2*50)/1000)*3.14*381.76+((273+2*100)/1000)*3.14*381.76</f>
        <v>1014.1225344000001</v>
      </c>
      <c r="E235" s="11">
        <v>0.5</v>
      </c>
      <c r="F235" s="11">
        <v>1.1499999999999999</v>
      </c>
      <c r="G235" s="11">
        <v>1.03</v>
      </c>
      <c r="H235" s="11">
        <v>5.67</v>
      </c>
      <c r="I235" s="192">
        <f t="shared" si="30"/>
        <v>606.46</v>
      </c>
      <c r="J235" s="173"/>
      <c r="K235" s="197">
        <f>((250+2*50)/1000)*3.14*43+((273+2*100)/1000)*3.14*43</f>
        <v>111.12146</v>
      </c>
      <c r="L235" s="202" t="s">
        <v>878</v>
      </c>
      <c r="M235" s="133"/>
      <c r="N235" s="136"/>
      <c r="P235" s="136"/>
      <c r="Q235" s="178"/>
    </row>
    <row r="236" spans="2:17">
      <c r="B236" s="11" t="s">
        <v>156</v>
      </c>
      <c r="C236" s="143">
        <v>100</v>
      </c>
      <c r="D236" s="174">
        <f>((323.9+2*50)/1000)*3.14*381.76+((323.9+2*100)/1000)*3.14*381.76</f>
        <v>1136.15288192</v>
      </c>
      <c r="E236" s="11">
        <v>0.5</v>
      </c>
      <c r="F236" s="11">
        <v>1.1499999999999999</v>
      </c>
      <c r="G236" s="11">
        <v>1.03</v>
      </c>
      <c r="H236" s="11">
        <v>5.67</v>
      </c>
      <c r="I236" s="192">
        <f t="shared" si="30"/>
        <v>678.73</v>
      </c>
      <c r="J236" s="173"/>
      <c r="K236" s="197">
        <f>((300+2*50)/1000)*3.14*43+((323.9+2*100)/1000)*3.14*43</f>
        <v>124.74497800000002</v>
      </c>
      <c r="L236" s="202" t="s">
        <v>878</v>
      </c>
      <c r="M236" s="133"/>
      <c r="N236" s="136"/>
      <c r="P236" s="136"/>
      <c r="Q236" s="178"/>
    </row>
    <row r="237" spans="2:17">
      <c r="B237" s="11" t="s">
        <v>158</v>
      </c>
      <c r="C237" s="143">
        <v>100</v>
      </c>
      <c r="D237" s="174">
        <f>((355.6+2*50)/1000)*3.14*381.76+((355.6+2*100)/1000)*3.14*381.76</f>
        <v>1212.1521356799999</v>
      </c>
      <c r="E237" s="11">
        <v>0.5</v>
      </c>
      <c r="F237" s="11">
        <v>1.1499999999999999</v>
      </c>
      <c r="G237" s="11">
        <v>1.03</v>
      </c>
      <c r="H237" s="11">
        <v>5.67</v>
      </c>
      <c r="I237" s="192">
        <f t="shared" si="30"/>
        <v>723.74</v>
      </c>
      <c r="J237" s="198"/>
      <c r="K237" s="197">
        <f>((355.6+2*50)/1000)*3.14*43+((355.6+2*100)/1000)*3.14*43</f>
        <v>136.53222399999999</v>
      </c>
      <c r="L237" s="202" t="s">
        <v>878</v>
      </c>
      <c r="M237" s="180"/>
      <c r="N237" s="136"/>
      <c r="P237" s="136"/>
      <c r="Q237" s="178"/>
    </row>
    <row r="238" spans="2:17">
      <c r="B238" s="11" t="s">
        <v>158</v>
      </c>
      <c r="C238" s="143">
        <v>120</v>
      </c>
      <c r="D238" s="174">
        <f>((355.6+2*50)/1000)*3.14*381.76+((355.6+2*100)/1000)*3.14*381.76+((355.6+2*120)/1000)*3.14*137.38</f>
        <v>1469.0780135999998</v>
      </c>
      <c r="E238" s="11">
        <v>0.5</v>
      </c>
      <c r="F238" s="11">
        <v>1.1499999999999999</v>
      </c>
      <c r="G238" s="11">
        <v>1.03</v>
      </c>
      <c r="H238" s="11">
        <v>5.67</v>
      </c>
      <c r="I238" s="192">
        <f>ROUNDUP((((D238*E238)*F238)+H238)*G238,2)</f>
        <v>875.91</v>
      </c>
      <c r="J238" s="198"/>
      <c r="K238" s="197">
        <f>((355.6+2*50)/1000)*3.14*43+((355.6+2*100)/1000)*3.14*43+((355.6+2*120)/1000)*3.14*43</f>
        <v>216.95013599999999</v>
      </c>
      <c r="L238" s="202" t="s">
        <v>878</v>
      </c>
      <c r="M238" s="180"/>
      <c r="N238" s="136"/>
      <c r="P238" s="136"/>
      <c r="Q238" s="178"/>
    </row>
    <row r="239" spans="2:17">
      <c r="B239" s="11" t="s">
        <v>176</v>
      </c>
      <c r="C239" s="143">
        <v>100</v>
      </c>
      <c r="D239" s="174">
        <f>((419+2*50)/1000)*3.14*381.76+((419+2*100)/1000)*3.14*381.76</f>
        <v>1364.1506432000001</v>
      </c>
      <c r="E239" s="11">
        <v>0.5</v>
      </c>
      <c r="F239" s="11">
        <v>1.1499999999999999</v>
      </c>
      <c r="G239" s="11">
        <v>1.03</v>
      </c>
      <c r="H239" s="11">
        <v>5.67</v>
      </c>
      <c r="I239" s="192">
        <f>ROUNDUP((((D239*E239)*F239)+H239)*G239,2)</f>
        <v>813.76</v>
      </c>
      <c r="J239" s="198"/>
      <c r="K239" s="174">
        <f>((419+2*50)/1000)*3.14*43+((419+2*100)/1000)*3.14*43</f>
        <v>153.65276</v>
      </c>
      <c r="L239" s="202" t="s">
        <v>878</v>
      </c>
      <c r="M239" s="180"/>
      <c r="N239" s="136"/>
      <c r="P239" s="136"/>
      <c r="Q239" s="178"/>
    </row>
    <row r="240" spans="2:17">
      <c r="B240" s="11" t="s">
        <v>176</v>
      </c>
      <c r="C240" s="143">
        <v>120</v>
      </c>
      <c r="D240" s="174">
        <f>((419+2*50)/1000)*3.14*381.76+((419+2*100)/1000)*3.14*381.76+((419+2*120)/1000)*3.14*137.38</f>
        <v>1648.4255820000001</v>
      </c>
      <c r="E240" s="11">
        <v>0.5</v>
      </c>
      <c r="F240" s="11">
        <v>1.1499999999999999</v>
      </c>
      <c r="G240" s="11">
        <v>1.03</v>
      </c>
      <c r="H240" s="11">
        <v>5.67</v>
      </c>
      <c r="I240" s="192">
        <f>ROUNDUP((((D240*E240)*F240)+H240)*G240,2)</f>
        <v>982.13</v>
      </c>
      <c r="J240" s="198"/>
      <c r="K240" s="174">
        <f>((419+2*50)/1000)*3.14*43+((419+2*100)/1000)*3.14*43+((419+2*120)/1000)*3.14*43</f>
        <v>242.63094000000001</v>
      </c>
      <c r="L240" s="202" t="s">
        <v>878</v>
      </c>
      <c r="M240" s="180"/>
      <c r="N240" s="136"/>
      <c r="P240" s="136"/>
      <c r="Q240" s="178"/>
    </row>
    <row r="241" spans="1:20">
      <c r="B241" s="11" t="s">
        <v>190</v>
      </c>
      <c r="C241" s="143">
        <v>100</v>
      </c>
      <c r="D241" s="174">
        <f>((630+2*50)/1000)*3.14*381.76+((630+2*100)/1000)*3.14*381.76</f>
        <v>1870.0131839999999</v>
      </c>
      <c r="E241" s="11">
        <v>0.5</v>
      </c>
      <c r="F241" s="11">
        <v>1.1499999999999999</v>
      </c>
      <c r="G241" s="11">
        <v>1.03</v>
      </c>
      <c r="H241" s="11">
        <v>5.67</v>
      </c>
      <c r="I241" s="192">
        <f>ROUNDUP((((D241*E241)*F241)+H241)*G241,2)</f>
        <v>1113.3599999999999</v>
      </c>
      <c r="J241" s="173"/>
      <c r="K241" s="197">
        <f>((630+2*50)/1000)*3.14*43+((630+2*100)/1000)*3.14*43</f>
        <v>210.63120000000001</v>
      </c>
      <c r="L241" s="202" t="s">
        <v>878</v>
      </c>
      <c r="M241" s="133"/>
      <c r="N241" s="136"/>
      <c r="P241" s="136"/>
      <c r="Q241" s="178"/>
    </row>
    <row r="242" spans="1:20">
      <c r="C242" s="136"/>
      <c r="D242" s="178"/>
      <c r="I242" s="133"/>
      <c r="J242" s="133"/>
      <c r="K242" s="179"/>
      <c r="L242" s="180"/>
      <c r="M242" s="180"/>
      <c r="N242" s="136"/>
      <c r="P242" s="136"/>
      <c r="Q242" s="178"/>
    </row>
    <row r="243" spans="1:20">
      <c r="C243" s="136"/>
      <c r="D243" s="178"/>
      <c r="I243" s="133"/>
      <c r="J243" s="133"/>
      <c r="K243" s="179"/>
      <c r="L243" s="180"/>
      <c r="M243" s="180"/>
      <c r="N243" s="136"/>
      <c r="P243" s="136"/>
      <c r="Q243" s="178"/>
    </row>
    <row r="244" spans="1:20">
      <c r="B244" s="11" t="s">
        <v>49</v>
      </c>
      <c r="C244" s="194">
        <v>20</v>
      </c>
      <c r="D244" s="174">
        <v>26.62</v>
      </c>
      <c r="E244" s="11">
        <v>0.5</v>
      </c>
      <c r="F244" s="11">
        <v>1.1000000000000001</v>
      </c>
      <c r="G244" s="11">
        <v>1.03</v>
      </c>
      <c r="H244" s="11">
        <v>1.01</v>
      </c>
      <c r="I244" s="144">
        <f>ROUNDUP((((D244*E244)*F244)+H244)*G244,2)</f>
        <v>16.130000000000003</v>
      </c>
      <c r="J244" s="173"/>
      <c r="K244" s="197">
        <v>25</v>
      </c>
      <c r="L244" s="202" t="s">
        <v>877</v>
      </c>
      <c r="M244" s="180"/>
      <c r="N244" s="136"/>
      <c r="P244" s="136"/>
      <c r="Q244" s="178"/>
    </row>
    <row r="245" spans="1:20">
      <c r="B245" s="11" t="s">
        <v>49</v>
      </c>
      <c r="C245" s="194">
        <v>25</v>
      </c>
      <c r="D245" s="174">
        <v>40.75</v>
      </c>
      <c r="E245" s="11">
        <v>0.5</v>
      </c>
      <c r="F245" s="11">
        <v>1.1000000000000001</v>
      </c>
      <c r="G245" s="11">
        <v>1.03</v>
      </c>
      <c r="H245" s="11">
        <v>1.01</v>
      </c>
      <c r="I245" s="144">
        <f>ROUNDUP((((D245*E245)*F245)+H245)*G245,2)</f>
        <v>24.130000000000003</v>
      </c>
      <c r="J245" s="173"/>
      <c r="K245" s="197">
        <v>25</v>
      </c>
      <c r="L245" s="202" t="s">
        <v>877</v>
      </c>
      <c r="M245" s="180"/>
      <c r="N245" s="136"/>
      <c r="P245" s="136"/>
      <c r="Q245" s="178"/>
    </row>
    <row r="246" spans="1:20">
      <c r="B246" s="11" t="s">
        <v>53</v>
      </c>
      <c r="C246" s="194">
        <v>35</v>
      </c>
      <c r="D246" s="174">
        <v>93.81</v>
      </c>
      <c r="E246" s="11">
        <v>0.5</v>
      </c>
      <c r="F246" s="11">
        <v>1.1000000000000001</v>
      </c>
      <c r="G246" s="11">
        <v>1.03</v>
      </c>
      <c r="H246" s="11">
        <v>1.4</v>
      </c>
      <c r="I246" s="144">
        <f>ROUNDUP((((D246*E246)*F246)+H246)*G246,2)</f>
        <v>54.589999999999996</v>
      </c>
      <c r="J246" s="173"/>
      <c r="K246" s="197">
        <v>25</v>
      </c>
      <c r="L246" s="202" t="s">
        <v>877</v>
      </c>
      <c r="M246" s="180"/>
      <c r="N246" s="136"/>
      <c r="P246" s="136"/>
      <c r="Q246" s="178"/>
    </row>
    <row r="247" spans="1:20">
      <c r="A247" s="853"/>
      <c r="B247" s="853"/>
      <c r="C247" s="854"/>
      <c r="D247" s="855"/>
      <c r="E247" s="853"/>
      <c r="F247" s="853"/>
      <c r="G247" s="853"/>
      <c r="H247" s="853"/>
      <c r="I247" s="850"/>
      <c r="J247" s="850"/>
      <c r="K247" s="851"/>
      <c r="L247" s="857"/>
      <c r="M247" s="857"/>
      <c r="N247" s="854"/>
      <c r="O247" s="853"/>
      <c r="P247" s="854"/>
      <c r="Q247" s="855"/>
      <c r="R247" s="853"/>
      <c r="S247" s="853"/>
      <c r="T247" s="853"/>
    </row>
    <row r="248" spans="1:20">
      <c r="A248" s="853"/>
      <c r="B248" s="853"/>
      <c r="C248" s="854"/>
      <c r="D248" s="855"/>
      <c r="E248" s="853"/>
      <c r="F248" s="853"/>
      <c r="G248" s="853"/>
      <c r="H248" s="853"/>
      <c r="I248" s="850"/>
      <c r="J248" s="850"/>
      <c r="K248" s="851"/>
      <c r="L248" s="857"/>
      <c r="M248" s="857"/>
      <c r="N248" s="854"/>
      <c r="O248" s="853"/>
      <c r="P248" s="854"/>
      <c r="Q248" s="855"/>
      <c r="R248" s="853"/>
      <c r="S248" s="853"/>
      <c r="T248" s="853"/>
    </row>
    <row r="249" spans="1:20">
      <c r="A249" s="853"/>
      <c r="B249" s="853"/>
      <c r="C249" s="854"/>
      <c r="D249" s="855"/>
      <c r="E249" s="853"/>
      <c r="F249" s="853"/>
      <c r="G249" s="853"/>
      <c r="H249" s="853"/>
      <c r="I249" s="850"/>
      <c r="J249" s="850"/>
      <c r="K249" s="851"/>
      <c r="L249" s="869"/>
      <c r="M249" s="869"/>
      <c r="N249" s="877"/>
      <c r="O249" s="850"/>
      <c r="P249" s="853"/>
      <c r="Q249" s="853"/>
      <c r="R249" s="853"/>
      <c r="S249" s="853"/>
      <c r="T249" s="853"/>
    </row>
    <row r="250" spans="1:20">
      <c r="A250" s="853"/>
      <c r="B250" s="847" t="s">
        <v>766</v>
      </c>
      <c r="C250" s="848" t="s">
        <v>875</v>
      </c>
      <c r="D250" s="885" t="s">
        <v>881</v>
      </c>
      <c r="E250" s="853"/>
      <c r="F250" s="853"/>
      <c r="G250" s="853"/>
      <c r="H250" s="853"/>
      <c r="I250" s="856"/>
      <c r="J250" s="856"/>
      <c r="K250" s="851"/>
      <c r="L250" s="857"/>
      <c r="M250" s="857"/>
      <c r="N250" s="854"/>
      <c r="O250" s="847" t="s">
        <v>766</v>
      </c>
      <c r="P250" s="848" t="s">
        <v>882</v>
      </c>
      <c r="Q250" s="858" t="s">
        <v>883</v>
      </c>
      <c r="R250" s="853"/>
      <c r="S250" s="853"/>
      <c r="T250" s="853"/>
    </row>
    <row r="251" spans="1:20">
      <c r="A251" s="853"/>
      <c r="B251" s="860" t="s">
        <v>769</v>
      </c>
      <c r="C251" s="861" t="s">
        <v>770</v>
      </c>
      <c r="D251" s="862" t="s">
        <v>771</v>
      </c>
      <c r="E251" s="860" t="s">
        <v>613</v>
      </c>
      <c r="F251" s="860" t="s">
        <v>772</v>
      </c>
      <c r="G251" s="860" t="s">
        <v>773</v>
      </c>
      <c r="H251" s="860" t="s">
        <v>774</v>
      </c>
      <c r="I251" s="863" t="s">
        <v>771</v>
      </c>
      <c r="J251" s="863"/>
      <c r="K251" s="864" t="s">
        <v>775</v>
      </c>
      <c r="L251" s="857"/>
      <c r="M251" s="857"/>
      <c r="N251" s="854"/>
      <c r="O251" s="860" t="s">
        <v>769</v>
      </c>
      <c r="P251" s="861" t="s">
        <v>770</v>
      </c>
      <c r="Q251" s="862" t="s">
        <v>771</v>
      </c>
      <c r="R251" s="860" t="s">
        <v>613</v>
      </c>
      <c r="S251" s="860" t="s">
        <v>772</v>
      </c>
      <c r="T251" s="860" t="s">
        <v>773</v>
      </c>
    </row>
    <row r="252" spans="1:20">
      <c r="A252" s="853"/>
      <c r="B252" s="860" t="s">
        <v>47</v>
      </c>
      <c r="C252" s="861">
        <v>10</v>
      </c>
      <c r="D252" s="862">
        <v>6.1</v>
      </c>
      <c r="E252" s="860">
        <v>0.6</v>
      </c>
      <c r="F252" s="860">
        <v>1.1000000000000001</v>
      </c>
      <c r="G252" s="860">
        <v>1.03</v>
      </c>
      <c r="H252" s="860">
        <v>1.01</v>
      </c>
      <c r="I252" s="866">
        <f t="shared" ref="I252:I266" si="31">ROUNDUP((((D252*E252)*F252)+H252)*G252,2)</f>
        <v>5.1899999999999995</v>
      </c>
      <c r="J252" s="867"/>
      <c r="K252" s="868">
        <v>21</v>
      </c>
      <c r="L252" s="850"/>
      <c r="M252" s="850"/>
      <c r="N252" s="854"/>
      <c r="O252" s="860" t="s">
        <v>47</v>
      </c>
      <c r="P252" s="861">
        <v>10</v>
      </c>
      <c r="Q252" s="862">
        <v>76.03</v>
      </c>
      <c r="R252" s="860">
        <v>0.7</v>
      </c>
      <c r="S252" s="860">
        <v>1.1000000000000001</v>
      </c>
      <c r="T252" s="860">
        <v>1.03</v>
      </c>
    </row>
    <row r="253" spans="1:20">
      <c r="A253" s="853"/>
      <c r="B253" s="860" t="s">
        <v>49</v>
      </c>
      <c r="C253" s="861">
        <v>15</v>
      </c>
      <c r="D253" s="862">
        <v>9.7200000000000006</v>
      </c>
      <c r="E253" s="860">
        <v>0.6</v>
      </c>
      <c r="F253" s="860">
        <v>1.1000000000000001</v>
      </c>
      <c r="G253" s="860">
        <v>1.03</v>
      </c>
      <c r="H253" s="860">
        <v>1.01</v>
      </c>
      <c r="I253" s="866">
        <f t="shared" si="31"/>
        <v>7.6499999999999995</v>
      </c>
      <c r="J253" s="867"/>
      <c r="K253" s="868">
        <v>21</v>
      </c>
      <c r="L253" s="850"/>
      <c r="M253" s="850"/>
      <c r="N253" s="854"/>
      <c r="O253" s="860" t="s">
        <v>49</v>
      </c>
      <c r="P253" s="861">
        <v>15</v>
      </c>
      <c r="Q253" s="862">
        <v>95.81</v>
      </c>
      <c r="R253" s="860">
        <v>0.7</v>
      </c>
      <c r="S253" s="860">
        <v>1.1000000000000001</v>
      </c>
      <c r="T253" s="860">
        <v>1.03</v>
      </c>
    </row>
    <row r="254" spans="1:20">
      <c r="A254" s="853"/>
      <c r="B254" s="860" t="s">
        <v>51</v>
      </c>
      <c r="C254" s="861">
        <v>15</v>
      </c>
      <c r="D254" s="862">
        <v>11.56</v>
      </c>
      <c r="E254" s="860">
        <v>0.6</v>
      </c>
      <c r="F254" s="860">
        <v>1.1000000000000001</v>
      </c>
      <c r="G254" s="860">
        <v>1.03</v>
      </c>
      <c r="H254" s="860">
        <v>1.4</v>
      </c>
      <c r="I254" s="866">
        <f t="shared" si="31"/>
        <v>9.31</v>
      </c>
      <c r="J254" s="867"/>
      <c r="K254" s="868">
        <v>21</v>
      </c>
      <c r="L254" s="850"/>
      <c r="M254" s="850"/>
      <c r="N254" s="854"/>
      <c r="O254" s="860" t="s">
        <v>51</v>
      </c>
      <c r="P254" s="861">
        <v>15</v>
      </c>
      <c r="Q254" s="862">
        <v>101.44</v>
      </c>
      <c r="R254" s="860">
        <v>0.7</v>
      </c>
      <c r="S254" s="860">
        <v>1.1000000000000001</v>
      </c>
      <c r="T254" s="860">
        <v>1.03</v>
      </c>
    </row>
    <row r="255" spans="1:20">
      <c r="A255" s="853"/>
      <c r="B255" s="860" t="s">
        <v>53</v>
      </c>
      <c r="C255" s="861">
        <v>15</v>
      </c>
      <c r="D255" s="862">
        <v>13.26</v>
      </c>
      <c r="E255" s="860">
        <v>0.6</v>
      </c>
      <c r="F255" s="860">
        <v>1.1000000000000001</v>
      </c>
      <c r="G255" s="860">
        <v>1.03</v>
      </c>
      <c r="H255" s="860">
        <v>1.4</v>
      </c>
      <c r="I255" s="866">
        <f t="shared" si="31"/>
        <v>10.459999999999999</v>
      </c>
      <c r="J255" s="867"/>
      <c r="K255" s="868">
        <v>21</v>
      </c>
      <c r="L255" s="850"/>
      <c r="M255" s="850"/>
      <c r="N255" s="854"/>
      <c r="O255" s="860" t="s">
        <v>53</v>
      </c>
      <c r="P255" s="861">
        <v>15</v>
      </c>
      <c r="Q255" s="862">
        <v>106.4</v>
      </c>
      <c r="R255" s="860">
        <v>0.7</v>
      </c>
      <c r="S255" s="860">
        <v>1.1000000000000001</v>
      </c>
      <c r="T255" s="860">
        <v>1.03</v>
      </c>
    </row>
    <row r="256" spans="1:20">
      <c r="A256" s="853"/>
      <c r="B256" s="860" t="s">
        <v>55</v>
      </c>
      <c r="C256" s="861">
        <v>20</v>
      </c>
      <c r="D256" s="862">
        <v>31.4</v>
      </c>
      <c r="E256" s="860">
        <v>0.6</v>
      </c>
      <c r="F256" s="860">
        <v>1.1000000000000001</v>
      </c>
      <c r="G256" s="860">
        <v>1.03</v>
      </c>
      <c r="H256" s="860">
        <v>1.69</v>
      </c>
      <c r="I256" s="866">
        <f t="shared" si="31"/>
        <v>23.09</v>
      </c>
      <c r="J256" s="867"/>
      <c r="K256" s="868">
        <v>21</v>
      </c>
      <c r="L256" s="850"/>
      <c r="M256" s="850"/>
      <c r="N256" s="854"/>
      <c r="O256" s="860" t="s">
        <v>55</v>
      </c>
      <c r="P256" s="861">
        <v>20</v>
      </c>
      <c r="Q256" s="862">
        <v>122.02</v>
      </c>
      <c r="R256" s="860">
        <v>0.7</v>
      </c>
      <c r="S256" s="860">
        <v>1.1000000000000001</v>
      </c>
      <c r="T256" s="860">
        <v>1.03</v>
      </c>
    </row>
    <row r="257" spans="1:20">
      <c r="A257" s="853"/>
      <c r="B257" s="860" t="s">
        <v>57</v>
      </c>
      <c r="C257" s="861">
        <v>25</v>
      </c>
      <c r="D257" s="862">
        <v>59.63</v>
      </c>
      <c r="E257" s="860">
        <v>0.6</v>
      </c>
      <c r="F257" s="860">
        <v>1.1499999999999999</v>
      </c>
      <c r="G257" s="860">
        <v>1.03</v>
      </c>
      <c r="H257" s="860">
        <v>2.0499999999999998</v>
      </c>
      <c r="I257" s="866">
        <f t="shared" si="31"/>
        <v>44.5</v>
      </c>
      <c r="J257" s="867"/>
      <c r="K257" s="868">
        <v>21</v>
      </c>
      <c r="L257" s="850"/>
      <c r="M257" s="850"/>
      <c r="N257" s="854"/>
      <c r="O257" s="860" t="s">
        <v>57</v>
      </c>
      <c r="P257" s="861">
        <v>25</v>
      </c>
      <c r="Q257" s="862">
        <v>166.88</v>
      </c>
      <c r="R257" s="860">
        <v>0.7</v>
      </c>
      <c r="S257" s="860">
        <v>1.1499999999999999</v>
      </c>
      <c r="T257" s="860">
        <v>1.03</v>
      </c>
    </row>
    <row r="258" spans="1:20">
      <c r="A258" s="853"/>
      <c r="B258" s="860" t="s">
        <v>59</v>
      </c>
      <c r="C258" s="861">
        <v>33</v>
      </c>
      <c r="D258" s="862">
        <v>91.14</v>
      </c>
      <c r="E258" s="860">
        <v>0.6</v>
      </c>
      <c r="F258" s="860">
        <v>1.1499999999999999</v>
      </c>
      <c r="G258" s="860">
        <v>1.03</v>
      </c>
      <c r="H258" s="860">
        <v>2.59</v>
      </c>
      <c r="I258" s="866">
        <f t="shared" si="31"/>
        <v>67.45</v>
      </c>
      <c r="J258" s="867"/>
      <c r="K258" s="868">
        <v>21</v>
      </c>
      <c r="L258" s="850"/>
      <c r="M258" s="850"/>
      <c r="N258" s="854"/>
      <c r="O258" s="860" t="s">
        <v>59</v>
      </c>
      <c r="P258" s="861">
        <v>33</v>
      </c>
      <c r="Q258" s="862">
        <v>246.95</v>
      </c>
      <c r="R258" s="860">
        <v>0.7</v>
      </c>
      <c r="S258" s="860">
        <v>1.1499999999999999</v>
      </c>
      <c r="T258" s="860">
        <v>1.03</v>
      </c>
    </row>
    <row r="259" spans="1:20">
      <c r="A259" s="853"/>
      <c r="B259" s="860" t="s">
        <v>60</v>
      </c>
      <c r="C259" s="861">
        <v>40</v>
      </c>
      <c r="D259" s="862">
        <v>185.14</v>
      </c>
      <c r="E259" s="860">
        <v>0.6</v>
      </c>
      <c r="F259" s="860">
        <v>1.1499999999999999</v>
      </c>
      <c r="G259" s="860">
        <v>1.03</v>
      </c>
      <c r="H259" s="860">
        <v>3.14</v>
      </c>
      <c r="I259" s="866">
        <f t="shared" si="31"/>
        <v>134.82</v>
      </c>
      <c r="J259" s="867"/>
      <c r="K259" s="868">
        <v>26</v>
      </c>
      <c r="L259" s="850"/>
      <c r="M259" s="850"/>
      <c r="N259" s="854"/>
      <c r="O259" s="860" t="s">
        <v>60</v>
      </c>
      <c r="P259" s="861">
        <v>40</v>
      </c>
      <c r="Q259" s="862">
        <v>341.02</v>
      </c>
      <c r="R259" s="860">
        <v>0.7</v>
      </c>
      <c r="S259" s="860">
        <v>1.1499999999999999</v>
      </c>
      <c r="T259" s="860">
        <v>1.03</v>
      </c>
    </row>
    <row r="260" spans="1:20">
      <c r="A260" s="853"/>
      <c r="B260" s="860" t="s">
        <v>62</v>
      </c>
      <c r="C260" s="861">
        <v>50</v>
      </c>
      <c r="D260" s="862">
        <v>443.73</v>
      </c>
      <c r="E260" s="860">
        <v>0.6</v>
      </c>
      <c r="F260" s="860">
        <v>1.1499999999999999</v>
      </c>
      <c r="G260" s="860">
        <v>1.03</v>
      </c>
      <c r="H260" s="860">
        <v>3.86</v>
      </c>
      <c r="I260" s="866">
        <f t="shared" si="31"/>
        <v>319.33999999999997</v>
      </c>
      <c r="J260" s="867"/>
      <c r="K260" s="868">
        <v>26</v>
      </c>
      <c r="L260" s="850"/>
      <c r="M260" s="850"/>
      <c r="N260" s="854"/>
      <c r="O260" s="860" t="s">
        <v>62</v>
      </c>
      <c r="P260" s="861">
        <v>50</v>
      </c>
      <c r="Q260" s="862">
        <v>487.31</v>
      </c>
      <c r="R260" s="860">
        <v>0.7</v>
      </c>
      <c r="S260" s="860">
        <v>1.1499999999999999</v>
      </c>
      <c r="T260" s="860">
        <v>1.03</v>
      </c>
    </row>
    <row r="261" spans="1:20">
      <c r="A261" s="853"/>
      <c r="B261" s="860" t="s">
        <v>63</v>
      </c>
      <c r="C261" s="861">
        <v>50</v>
      </c>
      <c r="D261" s="862">
        <v>503.42</v>
      </c>
      <c r="E261" s="860">
        <v>0.6</v>
      </c>
      <c r="F261" s="860">
        <v>1.1499999999999999</v>
      </c>
      <c r="G261" s="860">
        <v>1.03</v>
      </c>
      <c r="H261" s="860">
        <v>4.7699999999999996</v>
      </c>
      <c r="I261" s="866">
        <f t="shared" si="31"/>
        <v>362.7</v>
      </c>
      <c r="J261" s="867"/>
      <c r="K261" s="868">
        <v>28</v>
      </c>
      <c r="L261" s="850"/>
      <c r="M261" s="850"/>
      <c r="N261" s="854"/>
      <c r="O261" s="860" t="s">
        <v>63</v>
      </c>
      <c r="P261" s="861">
        <v>50</v>
      </c>
      <c r="Q261" s="862">
        <v>661.33</v>
      </c>
      <c r="R261" s="860">
        <v>0.7</v>
      </c>
      <c r="S261" s="860">
        <v>1.1499999999999999</v>
      </c>
      <c r="T261" s="860">
        <v>1.03</v>
      </c>
    </row>
    <row r="262" spans="1:20">
      <c r="A262" s="853"/>
      <c r="B262" s="860" t="s">
        <v>66</v>
      </c>
      <c r="C262" s="861">
        <v>50</v>
      </c>
      <c r="D262" s="862">
        <v>539.32000000000005</v>
      </c>
      <c r="E262" s="860">
        <v>0.6</v>
      </c>
      <c r="F262" s="860">
        <v>1.1499999999999999</v>
      </c>
      <c r="G262" s="860">
        <v>1.03</v>
      </c>
      <c r="H262" s="860">
        <v>5.67</v>
      </c>
      <c r="I262" s="866">
        <f t="shared" si="31"/>
        <v>389.14</v>
      </c>
      <c r="J262" s="867"/>
      <c r="K262" s="868">
        <f>((150+2*50)/1000)*3.14*43</f>
        <v>33.755000000000003</v>
      </c>
      <c r="L262" s="850"/>
      <c r="M262" s="850"/>
      <c r="N262" s="854"/>
      <c r="O262" s="860" t="s">
        <v>66</v>
      </c>
      <c r="P262" s="861">
        <v>50</v>
      </c>
      <c r="Q262" s="862">
        <v>705.62</v>
      </c>
      <c r="R262" s="860">
        <v>0.7</v>
      </c>
      <c r="S262" s="860">
        <v>1.1499999999999999</v>
      </c>
      <c r="T262" s="860">
        <v>1.03</v>
      </c>
    </row>
    <row r="263" spans="1:20">
      <c r="A263" s="853"/>
      <c r="B263" s="860" t="s">
        <v>121</v>
      </c>
      <c r="C263" s="861">
        <v>50</v>
      </c>
      <c r="D263" s="862">
        <f>((219.1+2*50)/1000)*3.14*340.98</f>
        <v>341.65309452000008</v>
      </c>
      <c r="E263" s="860">
        <v>0.6</v>
      </c>
      <c r="F263" s="860">
        <v>1.1499999999999999</v>
      </c>
      <c r="G263" s="860">
        <v>1.03</v>
      </c>
      <c r="H263" s="860">
        <v>5.67</v>
      </c>
      <c r="I263" s="866">
        <f t="shared" si="31"/>
        <v>248.66</v>
      </c>
      <c r="J263" s="867"/>
      <c r="K263" s="868">
        <f>((200+2*50)/1000)*3.14*43</f>
        <v>40.506</v>
      </c>
      <c r="L263" s="850"/>
      <c r="M263" s="850"/>
      <c r="N263" s="854"/>
      <c r="O263" s="860" t="s">
        <v>121</v>
      </c>
      <c r="P263" s="861">
        <v>50</v>
      </c>
      <c r="Q263" s="862">
        <f>((200+2*50)/1000)*3.14*535.2</f>
        <v>504.15840000000003</v>
      </c>
      <c r="R263" s="860">
        <v>0.7</v>
      </c>
      <c r="S263" s="860">
        <v>1.1499999999999999</v>
      </c>
      <c r="T263" s="860">
        <v>1.03</v>
      </c>
    </row>
    <row r="264" spans="1:20">
      <c r="A264" s="853"/>
      <c r="B264" s="860" t="s">
        <v>122</v>
      </c>
      <c r="C264" s="861">
        <v>50</v>
      </c>
      <c r="D264" s="862">
        <f>((273+2*50)/1000)*3.14*340.98</f>
        <v>399.36259560000008</v>
      </c>
      <c r="E264" s="860">
        <v>0.6</v>
      </c>
      <c r="F264" s="860">
        <v>1.1499999999999999</v>
      </c>
      <c r="G264" s="860">
        <v>1.03</v>
      </c>
      <c r="H264" s="860">
        <v>5.67</v>
      </c>
      <c r="I264" s="866">
        <f t="shared" si="31"/>
        <v>289.67</v>
      </c>
      <c r="J264" s="867"/>
      <c r="K264" s="868">
        <f>((250+2*50)/1000)*3.14*43</f>
        <v>47.256999999999998</v>
      </c>
      <c r="L264" s="850"/>
      <c r="M264" s="850"/>
      <c r="N264" s="854"/>
      <c r="O264" s="860" t="s">
        <v>122</v>
      </c>
      <c r="P264" s="861">
        <v>50</v>
      </c>
      <c r="Q264" s="862">
        <f>((250+2*50)/1000)*3.14*535.2</f>
        <v>588.1848</v>
      </c>
      <c r="R264" s="860">
        <v>0.7</v>
      </c>
      <c r="S264" s="860">
        <v>1.1499999999999999</v>
      </c>
      <c r="T264" s="860">
        <v>1.03</v>
      </c>
    </row>
    <row r="265" spans="1:20">
      <c r="A265" s="853"/>
      <c r="B265" s="860" t="s">
        <v>156</v>
      </c>
      <c r="C265" s="861">
        <v>50</v>
      </c>
      <c r="D265" s="862">
        <f>((323.9+2*50)/1000)*3.14*340.98</f>
        <v>453.86006508000003</v>
      </c>
      <c r="E265" s="860">
        <v>0.6</v>
      </c>
      <c r="F265" s="860">
        <v>1.1499999999999999</v>
      </c>
      <c r="G265" s="860">
        <v>1.03</v>
      </c>
      <c r="H265" s="860">
        <v>5.67</v>
      </c>
      <c r="I265" s="866">
        <f t="shared" si="31"/>
        <v>328.4</v>
      </c>
      <c r="J265" s="867"/>
      <c r="K265" s="876">
        <f>((300+2*50)/1000)*3.14*43</f>
        <v>54.00800000000001</v>
      </c>
      <c r="L265" s="850"/>
      <c r="M265" s="850"/>
      <c r="N265" s="854"/>
      <c r="O265" s="860" t="s">
        <v>156</v>
      </c>
      <c r="P265" s="861">
        <v>50</v>
      </c>
      <c r="Q265" s="862">
        <f>((300+2*50)/1000)*3.14*535.2</f>
        <v>672.21120000000019</v>
      </c>
      <c r="R265" s="860">
        <v>0.7</v>
      </c>
      <c r="S265" s="860">
        <v>1.1499999999999999</v>
      </c>
      <c r="T265" s="860">
        <v>1.03</v>
      </c>
    </row>
    <row r="266" spans="1:20">
      <c r="A266" s="853"/>
      <c r="B266" s="860" t="s">
        <v>158</v>
      </c>
      <c r="C266" s="861">
        <v>50</v>
      </c>
      <c r="D266" s="862">
        <f>((355.6+2*50)/1000)*3.14*340.98</f>
        <v>487.80053232000006</v>
      </c>
      <c r="E266" s="860">
        <v>0.6</v>
      </c>
      <c r="F266" s="860">
        <v>1.1499999999999999</v>
      </c>
      <c r="G266" s="860">
        <v>1.03</v>
      </c>
      <c r="H266" s="860">
        <v>5.67</v>
      </c>
      <c r="I266" s="866">
        <f t="shared" si="31"/>
        <v>352.52</v>
      </c>
      <c r="J266" s="875"/>
      <c r="K266" s="876">
        <f>((355.6+2*50)/1000)*3.14*43</f>
        <v>61.515112000000002</v>
      </c>
      <c r="L266" s="857"/>
      <c r="M266" s="857"/>
      <c r="N266" s="854"/>
      <c r="O266" s="860" t="s">
        <v>158</v>
      </c>
      <c r="P266" s="861">
        <v>50</v>
      </c>
      <c r="Q266" s="862">
        <f>((350+2*50)/1000)*3.14*535.2</f>
        <v>756.23760000000004</v>
      </c>
      <c r="R266" s="860">
        <v>0.7</v>
      </c>
      <c r="S266" s="860">
        <v>1.1499999999999999</v>
      </c>
      <c r="T266" s="860">
        <v>1.03</v>
      </c>
    </row>
    <row r="267" spans="1:20">
      <c r="A267" s="853"/>
      <c r="B267" s="853"/>
      <c r="C267" s="854"/>
      <c r="D267" s="855"/>
      <c r="E267" s="853"/>
      <c r="F267" s="853"/>
      <c r="G267" s="853"/>
      <c r="H267" s="853"/>
      <c r="I267" s="850"/>
      <c r="J267" s="850"/>
      <c r="K267" s="851"/>
      <c r="L267" s="857"/>
      <c r="M267" s="857"/>
      <c r="N267" s="854"/>
      <c r="O267" s="860" t="s">
        <v>176</v>
      </c>
      <c r="P267" s="861">
        <v>50</v>
      </c>
      <c r="Q267" s="862">
        <f>((400+2*50)/1000)*3.14*535.2</f>
        <v>840.26400000000012</v>
      </c>
      <c r="R267" s="860">
        <v>0.7</v>
      </c>
      <c r="S267" s="860">
        <v>1.1499999999999999</v>
      </c>
      <c r="T267" s="860">
        <v>1.03</v>
      </c>
    </row>
    <row r="268" spans="1:20">
      <c r="A268" s="853"/>
      <c r="B268" s="853"/>
      <c r="C268" s="854"/>
      <c r="D268" s="855"/>
      <c r="E268" s="853"/>
      <c r="F268" s="853"/>
      <c r="G268" s="853"/>
      <c r="H268" s="853"/>
      <c r="I268" s="850"/>
      <c r="J268" s="850"/>
      <c r="K268" s="851"/>
      <c r="L268" s="857"/>
      <c r="M268" s="857"/>
      <c r="N268" s="854"/>
      <c r="O268" s="853"/>
      <c r="P268" s="853"/>
      <c r="Q268" s="853"/>
      <c r="R268" s="853"/>
      <c r="S268" s="853"/>
      <c r="T268" s="853"/>
    </row>
    <row r="269" spans="1:20">
      <c r="C269" s="136"/>
      <c r="D269" s="178"/>
      <c r="I269" s="133"/>
      <c r="J269" s="133"/>
      <c r="K269" s="179"/>
      <c r="L269" s="180"/>
      <c r="M269" s="180"/>
      <c r="N269" s="136"/>
    </row>
    <row r="270" spans="1:20">
      <c r="C270" s="136"/>
      <c r="D270" s="178"/>
      <c r="I270" s="138"/>
      <c r="J270" s="138"/>
      <c r="K270" s="179"/>
      <c r="L270" s="180"/>
      <c r="M270" s="180"/>
      <c r="N270" s="136"/>
    </row>
    <row r="271" spans="1:20">
      <c r="A271" s="204"/>
      <c r="B271" s="181" t="s">
        <v>884</v>
      </c>
      <c r="C271" s="205"/>
      <c r="D271" s="206"/>
      <c r="E271" s="204"/>
      <c r="F271" s="204"/>
      <c r="G271" s="204"/>
      <c r="H271" s="204"/>
      <c r="I271" s="207"/>
      <c r="J271" s="207"/>
      <c r="K271" s="185"/>
      <c r="L271" s="208"/>
      <c r="M271" s="208"/>
      <c r="N271" s="205"/>
      <c r="O271" s="204"/>
      <c r="P271" s="204"/>
      <c r="Q271" s="204"/>
      <c r="R271" s="204"/>
      <c r="S271" s="204"/>
      <c r="T271" s="204"/>
    </row>
    <row r="272" spans="1:20">
      <c r="B272" s="28"/>
      <c r="C272" s="136"/>
      <c r="D272" s="178"/>
      <c r="I272" s="138"/>
      <c r="J272" s="138"/>
      <c r="K272" s="898">
        <v>0.45</v>
      </c>
      <c r="L272" s="180" t="s">
        <v>613</v>
      </c>
      <c r="M272" s="180"/>
      <c r="N272" s="136"/>
    </row>
    <row r="273" spans="2:14">
      <c r="B273" s="131" t="s">
        <v>805</v>
      </c>
      <c r="C273" s="132" t="s">
        <v>806</v>
      </c>
      <c r="D273" s="159" t="s">
        <v>768</v>
      </c>
      <c r="E273" s="169"/>
      <c r="F273" s="169"/>
      <c r="G273" s="169"/>
      <c r="H273" s="169"/>
      <c r="I273" s="196" t="s">
        <v>272</v>
      </c>
      <c r="J273" s="138"/>
      <c r="K273" s="136"/>
      <c r="L273" s="180"/>
      <c r="M273" s="180"/>
      <c r="N273" s="136"/>
    </row>
    <row r="274" spans="2:14">
      <c r="B274" s="11" t="s">
        <v>769</v>
      </c>
      <c r="C274" s="143" t="s">
        <v>770</v>
      </c>
      <c r="D274" s="92" t="s">
        <v>771</v>
      </c>
      <c r="E274" s="11" t="s">
        <v>613</v>
      </c>
      <c r="F274" s="11" t="s">
        <v>772</v>
      </c>
      <c r="G274" s="11" t="s">
        <v>773</v>
      </c>
      <c r="H274" s="11" t="s">
        <v>774</v>
      </c>
      <c r="I274" s="147" t="s">
        <v>771</v>
      </c>
      <c r="J274" s="171"/>
      <c r="K274" s="168" t="s">
        <v>775</v>
      </c>
      <c r="L274" s="200" t="s">
        <v>885</v>
      </c>
      <c r="M274" s="180"/>
      <c r="N274" s="136"/>
    </row>
    <row r="275" spans="2:14">
      <c r="B275" s="139" t="s">
        <v>47</v>
      </c>
      <c r="C275" s="172">
        <v>20</v>
      </c>
      <c r="D275" s="92">
        <v>17.95</v>
      </c>
      <c r="E275" s="11">
        <v>0.55000000000000004</v>
      </c>
      <c r="F275" s="11">
        <v>1.1000000000000001</v>
      </c>
      <c r="G275" s="11">
        <v>1.03</v>
      </c>
      <c r="H275" s="11">
        <v>1.01</v>
      </c>
      <c r="I275" s="209">
        <f>(((D275*E275)*F275)+H275)*G275</f>
        <v>12.225842500000002</v>
      </c>
      <c r="J275" s="173"/>
      <c r="K275" s="197">
        <v>25</v>
      </c>
      <c r="L275" s="180"/>
      <c r="M275" s="180"/>
      <c r="N275" s="136"/>
    </row>
    <row r="276" spans="2:14">
      <c r="B276" s="139" t="s">
        <v>49</v>
      </c>
      <c r="C276" s="172">
        <v>20</v>
      </c>
      <c r="D276" s="92">
        <v>19.600000000000001</v>
      </c>
      <c r="E276" s="11">
        <f>E275</f>
        <v>0.55000000000000004</v>
      </c>
      <c r="F276" s="11">
        <v>1.1000000000000001</v>
      </c>
      <c r="G276" s="11">
        <v>1.03</v>
      </c>
      <c r="H276" s="11">
        <v>1.01</v>
      </c>
      <c r="I276" s="209">
        <f t="shared" ref="I276:I291" si="32">(((D276*E276)*F276)+H276)*G276</f>
        <v>13.254040000000003</v>
      </c>
      <c r="J276" s="173"/>
      <c r="K276" s="197">
        <v>25</v>
      </c>
      <c r="L276" s="180"/>
      <c r="M276" s="180"/>
      <c r="N276" s="136"/>
    </row>
    <row r="277" spans="2:14">
      <c r="B277" s="139" t="s">
        <v>51</v>
      </c>
      <c r="C277" s="172">
        <v>30</v>
      </c>
      <c r="D277" s="92">
        <v>28.97</v>
      </c>
      <c r="E277" s="11">
        <f>E276</f>
        <v>0.55000000000000004</v>
      </c>
      <c r="F277" s="11">
        <v>1.1000000000000001</v>
      </c>
      <c r="G277" s="11">
        <v>1.03</v>
      </c>
      <c r="H277" s="11">
        <v>1.4</v>
      </c>
      <c r="I277" s="209">
        <f t="shared" si="32"/>
        <v>19.494655500000004</v>
      </c>
      <c r="J277" s="173"/>
      <c r="K277" s="197">
        <v>25</v>
      </c>
      <c r="L277" s="180"/>
      <c r="M277" s="180"/>
      <c r="N277" s="136"/>
    </row>
    <row r="278" spans="2:14">
      <c r="B278" s="11" t="s">
        <v>53</v>
      </c>
      <c r="C278" s="172">
        <v>30</v>
      </c>
      <c r="D278" s="92">
        <v>32.21</v>
      </c>
      <c r="E278" s="11">
        <f>E277</f>
        <v>0.55000000000000004</v>
      </c>
      <c r="F278" s="11">
        <v>1.1000000000000001</v>
      </c>
      <c r="G278" s="11">
        <v>1.03</v>
      </c>
      <c r="H278" s="11">
        <v>1.4</v>
      </c>
      <c r="I278" s="144">
        <f>(((D278*E278)*F278)+H278)*G278</f>
        <v>21.513661500000001</v>
      </c>
      <c r="J278" s="173"/>
      <c r="K278" s="197">
        <v>25</v>
      </c>
      <c r="L278" s="180"/>
      <c r="M278" s="180"/>
      <c r="N278" s="136"/>
    </row>
    <row r="279" spans="2:14">
      <c r="B279" s="139" t="s">
        <v>53</v>
      </c>
      <c r="C279" s="194">
        <v>40</v>
      </c>
      <c r="D279" s="92">
        <v>44.68</v>
      </c>
      <c r="E279" s="11">
        <f>E278</f>
        <v>0.55000000000000004</v>
      </c>
      <c r="F279" s="11">
        <v>1.1000000000000001</v>
      </c>
      <c r="G279" s="11">
        <v>1.03</v>
      </c>
      <c r="H279" s="11">
        <v>1.4</v>
      </c>
      <c r="I279" s="209">
        <f t="shared" si="32"/>
        <v>29.284342000000006</v>
      </c>
      <c r="J279" s="173"/>
      <c r="K279" s="197">
        <v>25</v>
      </c>
      <c r="L279" s="180"/>
      <c r="M279" s="180"/>
      <c r="N279" s="136"/>
    </row>
    <row r="280" spans="2:14">
      <c r="B280" s="139" t="s">
        <v>55</v>
      </c>
      <c r="C280" s="172">
        <v>40</v>
      </c>
      <c r="D280" s="92">
        <v>46.52</v>
      </c>
      <c r="E280" s="11">
        <f>E279</f>
        <v>0.55000000000000004</v>
      </c>
      <c r="F280" s="11">
        <v>1.1000000000000001</v>
      </c>
      <c r="G280" s="11">
        <v>1.03</v>
      </c>
      <c r="H280" s="11">
        <v>1.69</v>
      </c>
      <c r="I280" s="209">
        <f t="shared" si="32"/>
        <v>30.729638000000005</v>
      </c>
      <c r="J280" s="173"/>
      <c r="K280" s="197">
        <v>25</v>
      </c>
      <c r="L280" s="180"/>
      <c r="M280" s="180"/>
      <c r="N280" s="136"/>
    </row>
    <row r="281" spans="2:14">
      <c r="B281" s="11" t="s">
        <v>57</v>
      </c>
      <c r="C281" s="172">
        <v>50</v>
      </c>
      <c r="D281" s="92">
        <v>72.319999999999993</v>
      </c>
      <c r="E281" s="11">
        <f>E280</f>
        <v>0.55000000000000004</v>
      </c>
      <c r="F281" s="11">
        <v>1.1499999999999999</v>
      </c>
      <c r="G281" s="11">
        <v>1.03</v>
      </c>
      <c r="H281" s="11">
        <v>2.0499999999999998</v>
      </c>
      <c r="I281" s="144">
        <f t="shared" si="32"/>
        <v>49.226171999999984</v>
      </c>
      <c r="J281" s="173"/>
      <c r="K281" s="197">
        <v>25</v>
      </c>
      <c r="L281" s="180"/>
      <c r="M281" s="180"/>
      <c r="N281" s="136"/>
    </row>
    <row r="282" spans="2:14">
      <c r="B282" s="139" t="s">
        <v>57</v>
      </c>
      <c r="C282" s="194">
        <v>60</v>
      </c>
      <c r="D282" s="92">
        <v>90.89</v>
      </c>
      <c r="E282" s="11">
        <f>E281</f>
        <v>0.55000000000000004</v>
      </c>
      <c r="F282" s="11">
        <v>1.1499999999999999</v>
      </c>
      <c r="G282" s="11">
        <v>1.03</v>
      </c>
      <c r="H282" s="11">
        <v>2.0499999999999998</v>
      </c>
      <c r="I282" s="209">
        <f>(((D282*E282)*F282)+H282)*G282</f>
        <v>61.324062750000003</v>
      </c>
      <c r="J282" s="173"/>
      <c r="K282" s="197">
        <v>25</v>
      </c>
      <c r="L282" s="180"/>
      <c r="M282" s="180"/>
      <c r="N282" s="136"/>
    </row>
    <row r="283" spans="2:14">
      <c r="B283" s="139" t="s">
        <v>59</v>
      </c>
      <c r="C283" s="172">
        <v>70</v>
      </c>
      <c r="D283" s="92">
        <v>159.26</v>
      </c>
      <c r="E283" s="11">
        <f>E282</f>
        <v>0.55000000000000004</v>
      </c>
      <c r="F283" s="11">
        <v>1.1499999999999999</v>
      </c>
      <c r="G283" s="11">
        <v>1.03</v>
      </c>
      <c r="H283" s="11">
        <v>2.59</v>
      </c>
      <c r="I283" s="209">
        <f t="shared" si="32"/>
        <v>106.4216085</v>
      </c>
      <c r="J283" s="173"/>
      <c r="K283" s="197">
        <v>25</v>
      </c>
      <c r="L283" s="180"/>
      <c r="M283" s="180"/>
      <c r="N283" s="136"/>
    </row>
    <row r="284" spans="2:14">
      <c r="B284" s="139" t="s">
        <v>60</v>
      </c>
      <c r="C284" s="172">
        <v>80</v>
      </c>
      <c r="D284" s="92">
        <v>206.68</v>
      </c>
      <c r="E284" s="11">
        <f>E283</f>
        <v>0.55000000000000004</v>
      </c>
      <c r="F284" s="11">
        <v>1.1499999999999999</v>
      </c>
      <c r="G284" s="11">
        <v>1.03</v>
      </c>
      <c r="H284" s="11">
        <v>3.14</v>
      </c>
      <c r="I284" s="209">
        <f t="shared" si="32"/>
        <v>137.88105299999998</v>
      </c>
      <c r="J284" s="173"/>
      <c r="K284" s="197">
        <v>30</v>
      </c>
      <c r="L284" s="180"/>
      <c r="M284" s="180"/>
      <c r="N284" s="136"/>
    </row>
    <row r="285" spans="2:14">
      <c r="B285" s="139" t="s">
        <v>62</v>
      </c>
      <c r="C285" s="172">
        <v>100</v>
      </c>
      <c r="D285" s="92">
        <v>277.11</v>
      </c>
      <c r="E285" s="11">
        <f>E284</f>
        <v>0.55000000000000004</v>
      </c>
      <c r="F285" s="11">
        <v>1.1499999999999999</v>
      </c>
      <c r="G285" s="11">
        <v>1.03</v>
      </c>
      <c r="H285" s="11">
        <v>3.86</v>
      </c>
      <c r="I285" s="209">
        <f t="shared" si="32"/>
        <v>184.50603725000002</v>
      </c>
      <c r="J285" s="173"/>
      <c r="K285" s="197">
        <v>30</v>
      </c>
      <c r="L285" s="180"/>
      <c r="M285" s="180"/>
      <c r="N285" s="136"/>
    </row>
    <row r="286" spans="2:14">
      <c r="B286" s="139" t="s">
        <v>63</v>
      </c>
      <c r="C286" s="172">
        <v>100</v>
      </c>
      <c r="D286" s="92">
        <v>305.33</v>
      </c>
      <c r="E286" s="11">
        <f>E285</f>
        <v>0.55000000000000004</v>
      </c>
      <c r="F286" s="11">
        <v>1.1499999999999999</v>
      </c>
      <c r="G286" s="11">
        <v>1.03</v>
      </c>
      <c r="H286" s="11">
        <v>4.7699999999999996</v>
      </c>
      <c r="I286" s="209">
        <f t="shared" si="32"/>
        <v>203.82796174999999</v>
      </c>
      <c r="J286" s="173"/>
      <c r="K286" s="197">
        <v>35</v>
      </c>
      <c r="L286" s="180"/>
      <c r="M286" s="180"/>
      <c r="N286" s="136"/>
    </row>
    <row r="287" spans="2:14">
      <c r="B287" s="139" t="s">
        <v>66</v>
      </c>
      <c r="C287" s="172">
        <v>100</v>
      </c>
      <c r="D287" s="92">
        <v>376.84</v>
      </c>
      <c r="E287" s="11">
        <f>E286</f>
        <v>0.55000000000000004</v>
      </c>
      <c r="F287" s="11">
        <v>1.1499999999999999</v>
      </c>
      <c r="G287" s="11">
        <v>1.03</v>
      </c>
      <c r="H287" s="11">
        <v>5.67</v>
      </c>
      <c r="I287" s="209">
        <f t="shared" si="32"/>
        <v>251.34193899999997</v>
      </c>
      <c r="J287" s="173"/>
      <c r="K287" s="197">
        <v>35</v>
      </c>
      <c r="L287" s="180"/>
      <c r="M287" s="180"/>
      <c r="N287" s="136"/>
    </row>
    <row r="288" spans="2:14">
      <c r="B288" s="139" t="s">
        <v>121</v>
      </c>
      <c r="C288" s="172">
        <v>100</v>
      </c>
      <c r="D288" s="92">
        <v>460.42</v>
      </c>
      <c r="E288" s="11">
        <f>E287</f>
        <v>0.55000000000000004</v>
      </c>
      <c r="F288" s="11">
        <v>1.1499999999999999</v>
      </c>
      <c r="G288" s="11">
        <v>1.03</v>
      </c>
      <c r="H288" s="11">
        <v>7.48</v>
      </c>
      <c r="I288" s="209">
        <f t="shared" si="32"/>
        <v>307.6565195</v>
      </c>
      <c r="J288" s="173"/>
      <c r="K288" s="197">
        <v>35</v>
      </c>
      <c r="L288" s="180"/>
      <c r="M288" s="180"/>
      <c r="N288" s="136"/>
    </row>
    <row r="289" spans="1:14">
      <c r="B289" s="139" t="s">
        <v>122</v>
      </c>
      <c r="C289" s="172">
        <v>100</v>
      </c>
      <c r="D289" s="92">
        <v>489.56</v>
      </c>
      <c r="E289" s="11">
        <f>E288</f>
        <v>0.55000000000000004</v>
      </c>
      <c r="F289" s="11">
        <v>1.1499999999999999</v>
      </c>
      <c r="G289" s="11">
        <v>1.03</v>
      </c>
      <c r="H289" s="11">
        <v>9.2899999999999991</v>
      </c>
      <c r="I289" s="209">
        <f t="shared" si="32"/>
        <v>328.50480100000004</v>
      </c>
      <c r="J289" s="173"/>
      <c r="K289" s="197">
        <v>35</v>
      </c>
      <c r="L289" s="180"/>
      <c r="M289" s="180"/>
      <c r="N289" s="136"/>
    </row>
    <row r="290" spans="1:14">
      <c r="B290" s="139" t="s">
        <v>156</v>
      </c>
      <c r="C290" s="172">
        <v>100</v>
      </c>
      <c r="D290" s="92">
        <v>732.86</v>
      </c>
      <c r="E290" s="11">
        <f>E289</f>
        <v>0.55000000000000004</v>
      </c>
      <c r="F290" s="11">
        <v>1.1499999999999999</v>
      </c>
      <c r="G290" s="11">
        <v>1.03</v>
      </c>
      <c r="H290" s="11">
        <v>10.5</v>
      </c>
      <c r="I290" s="209">
        <f t="shared" si="32"/>
        <v>488.25496850000002</v>
      </c>
      <c r="J290" s="173"/>
      <c r="K290" s="197">
        <v>40</v>
      </c>
      <c r="L290" s="180"/>
      <c r="M290" s="180"/>
      <c r="N290" s="136"/>
    </row>
    <row r="291" spans="1:14">
      <c r="B291" s="139" t="s">
        <v>158</v>
      </c>
      <c r="C291" s="172">
        <v>100</v>
      </c>
      <c r="D291" s="92">
        <v>876.42</v>
      </c>
      <c r="E291" s="11">
        <f>E290</f>
        <v>0.55000000000000004</v>
      </c>
      <c r="F291" s="11">
        <v>1.1499999999999999</v>
      </c>
      <c r="G291" s="11">
        <v>1.03</v>
      </c>
      <c r="H291" s="11">
        <v>12.5</v>
      </c>
      <c r="I291" s="209">
        <f t="shared" si="32"/>
        <v>583.84071949999998</v>
      </c>
      <c r="J291" s="173"/>
      <c r="K291" s="197">
        <v>50</v>
      </c>
      <c r="L291" s="180"/>
      <c r="M291" s="180"/>
      <c r="N291" s="136"/>
    </row>
    <row r="292" spans="1:14">
      <c r="B292" s="139" t="s">
        <v>176</v>
      </c>
      <c r="C292" s="172">
        <v>100</v>
      </c>
      <c r="D292" s="92">
        <v>951.48</v>
      </c>
      <c r="E292" s="11">
        <f>E291</f>
        <v>0.55000000000000004</v>
      </c>
      <c r="F292" s="11">
        <v>1.1499999999999999</v>
      </c>
      <c r="G292" s="11">
        <v>1.03</v>
      </c>
      <c r="H292" s="11">
        <v>12.5</v>
      </c>
      <c r="I292" s="209">
        <f>(((D292*E292)*F292)+H292)*G292</f>
        <v>632.74043300000005</v>
      </c>
      <c r="J292" s="173"/>
      <c r="K292" s="197">
        <v>50</v>
      </c>
      <c r="L292" s="180"/>
      <c r="M292" s="180"/>
      <c r="N292" s="136"/>
    </row>
    <row r="293" spans="1:14">
      <c r="A293" s="853"/>
      <c r="B293" s="853"/>
      <c r="C293" s="886"/>
      <c r="D293" s="856"/>
      <c r="E293" s="853"/>
      <c r="F293" s="853"/>
      <c r="G293" s="853"/>
      <c r="H293" s="853"/>
      <c r="I293" s="850"/>
      <c r="J293" s="850"/>
      <c r="K293" s="851"/>
      <c r="L293" s="857"/>
      <c r="M293" s="857"/>
      <c r="N293" s="136"/>
    </row>
    <row r="294" spans="1:14">
      <c r="A294" s="853"/>
      <c r="B294" s="847" t="s">
        <v>805</v>
      </c>
      <c r="C294" s="848" t="s">
        <v>806</v>
      </c>
      <c r="D294" s="887" t="s">
        <v>886</v>
      </c>
      <c r="E294" s="853"/>
      <c r="F294" s="853"/>
      <c r="G294" s="853"/>
      <c r="H294" s="853"/>
      <c r="I294" s="856"/>
      <c r="J294" s="856"/>
      <c r="K294" s="854"/>
      <c r="L294" s="857"/>
      <c r="M294" s="857"/>
      <c r="N294" s="136"/>
    </row>
    <row r="295" spans="1:14">
      <c r="A295" s="853"/>
      <c r="B295" s="860" t="s">
        <v>769</v>
      </c>
      <c r="C295" s="861" t="s">
        <v>770</v>
      </c>
      <c r="D295" s="888" t="s">
        <v>771</v>
      </c>
      <c r="E295" s="860" t="s">
        <v>613</v>
      </c>
      <c r="F295" s="860" t="s">
        <v>772</v>
      </c>
      <c r="G295" s="860" t="s">
        <v>773</v>
      </c>
      <c r="H295" s="860" t="s">
        <v>774</v>
      </c>
      <c r="I295" s="863" t="s">
        <v>771</v>
      </c>
      <c r="J295" s="889"/>
      <c r="K295" s="890" t="s">
        <v>775</v>
      </c>
      <c r="L295" s="857"/>
      <c r="M295" s="857"/>
      <c r="N295" s="136"/>
    </row>
    <row r="296" spans="1:14">
      <c r="A296" s="853"/>
      <c r="B296" s="860" t="s">
        <v>47</v>
      </c>
      <c r="C296" s="891">
        <v>20</v>
      </c>
      <c r="D296" s="888">
        <v>17.920000000000002</v>
      </c>
      <c r="E296" s="860">
        <v>0.7</v>
      </c>
      <c r="F296" s="860">
        <v>1.1000000000000001</v>
      </c>
      <c r="G296" s="860">
        <v>1.03</v>
      </c>
      <c r="H296" s="860">
        <v>1.01</v>
      </c>
      <c r="I296" s="866">
        <f>(((D296*E296)*F296)+H296)*G296</f>
        <v>15.252652000000001</v>
      </c>
      <c r="J296" s="867"/>
      <c r="K296" s="868">
        <v>25</v>
      </c>
      <c r="L296" s="857"/>
      <c r="M296" s="857"/>
      <c r="N296" s="136"/>
    </row>
    <row r="297" spans="1:14">
      <c r="A297" s="853"/>
      <c r="B297" s="860" t="s">
        <v>49</v>
      </c>
      <c r="C297" s="891">
        <v>20</v>
      </c>
      <c r="D297" s="888">
        <v>19.22</v>
      </c>
      <c r="E297" s="860">
        <v>0.7</v>
      </c>
      <c r="F297" s="860">
        <v>1.1000000000000001</v>
      </c>
      <c r="G297" s="860">
        <v>1.03</v>
      </c>
      <c r="H297" s="860">
        <v>1.01</v>
      </c>
      <c r="I297" s="866">
        <f t="shared" ref="I297:I310" si="33">(((D297*E297)*F297)+H297)*G297</f>
        <v>16.283681999999999</v>
      </c>
      <c r="J297" s="867"/>
      <c r="K297" s="868">
        <v>25</v>
      </c>
      <c r="L297" s="857"/>
      <c r="M297" s="857"/>
      <c r="N297" s="136"/>
    </row>
    <row r="298" spans="1:14">
      <c r="A298" s="853"/>
      <c r="B298" s="860" t="s">
        <v>51</v>
      </c>
      <c r="C298" s="891">
        <v>30</v>
      </c>
      <c r="D298" s="888">
        <v>28.4</v>
      </c>
      <c r="E298" s="860">
        <v>0.7</v>
      </c>
      <c r="F298" s="860">
        <v>1.1000000000000001</v>
      </c>
      <c r="G298" s="860">
        <v>1.03</v>
      </c>
      <c r="H298" s="860">
        <v>1.4</v>
      </c>
      <c r="I298" s="866">
        <f t="shared" si="33"/>
        <v>23.96604</v>
      </c>
      <c r="J298" s="867"/>
      <c r="K298" s="868">
        <v>25</v>
      </c>
      <c r="L298" s="857"/>
      <c r="M298" s="857"/>
      <c r="N298" s="136"/>
    </row>
    <row r="299" spans="1:14">
      <c r="A299" s="853"/>
      <c r="B299" s="860" t="s">
        <v>53</v>
      </c>
      <c r="C299" s="891">
        <v>40</v>
      </c>
      <c r="D299" s="888">
        <v>43.8</v>
      </c>
      <c r="E299" s="860">
        <v>0.7</v>
      </c>
      <c r="F299" s="860">
        <v>1.1000000000000001</v>
      </c>
      <c r="G299" s="860">
        <v>1.03</v>
      </c>
      <c r="H299" s="860">
        <v>1.4</v>
      </c>
      <c r="I299" s="866">
        <f t="shared" si="33"/>
        <v>36.179780000000001</v>
      </c>
      <c r="J299" s="867"/>
      <c r="K299" s="868">
        <v>25</v>
      </c>
      <c r="L299" s="857"/>
      <c r="M299" s="857"/>
      <c r="N299" s="136"/>
    </row>
    <row r="300" spans="1:14">
      <c r="A300" s="853"/>
      <c r="B300" s="860" t="s">
        <v>55</v>
      </c>
      <c r="C300" s="891">
        <v>40</v>
      </c>
      <c r="D300" s="888">
        <v>45.61</v>
      </c>
      <c r="E300" s="860">
        <v>0.7</v>
      </c>
      <c r="F300" s="860">
        <v>1.1000000000000001</v>
      </c>
      <c r="G300" s="860">
        <v>1.03</v>
      </c>
      <c r="H300" s="860">
        <v>1.69</v>
      </c>
      <c r="I300" s="866">
        <f t="shared" si="33"/>
        <v>37.913991000000003</v>
      </c>
      <c r="J300" s="867"/>
      <c r="K300" s="868">
        <v>25</v>
      </c>
      <c r="L300" s="857"/>
      <c r="M300" s="857"/>
      <c r="N300" s="136"/>
    </row>
    <row r="301" spans="1:14">
      <c r="A301" s="853"/>
      <c r="B301" s="860" t="s">
        <v>57</v>
      </c>
      <c r="C301" s="891">
        <v>50</v>
      </c>
      <c r="D301" s="888">
        <v>70.900000000000006</v>
      </c>
      <c r="E301" s="860">
        <v>0.7</v>
      </c>
      <c r="F301" s="860">
        <v>1.1499999999999999</v>
      </c>
      <c r="G301" s="860">
        <v>1.03</v>
      </c>
      <c r="H301" s="860">
        <v>2.0499999999999998</v>
      </c>
      <c r="I301" s="866">
        <f t="shared" si="33"/>
        <v>60.898235</v>
      </c>
      <c r="J301" s="867"/>
      <c r="K301" s="868">
        <v>25</v>
      </c>
      <c r="L301" s="857"/>
      <c r="M301" s="857"/>
      <c r="N301" s="136"/>
    </row>
    <row r="302" spans="1:14">
      <c r="A302" s="853"/>
      <c r="B302" s="860" t="s">
        <v>59</v>
      </c>
      <c r="C302" s="891">
        <v>70</v>
      </c>
      <c r="D302" s="888">
        <v>156.13999999999999</v>
      </c>
      <c r="E302" s="860">
        <v>0.7</v>
      </c>
      <c r="F302" s="860">
        <v>1.1499999999999999</v>
      </c>
      <c r="G302" s="860">
        <v>1.03</v>
      </c>
      <c r="H302" s="860">
        <v>2.59</v>
      </c>
      <c r="I302" s="866">
        <f t="shared" si="33"/>
        <v>132.13118099999997</v>
      </c>
      <c r="J302" s="867"/>
      <c r="K302" s="868">
        <v>25</v>
      </c>
      <c r="L302" s="857"/>
      <c r="M302" s="857"/>
      <c r="N302" s="136"/>
    </row>
    <row r="303" spans="1:14">
      <c r="A303" s="853"/>
      <c r="B303" s="860" t="s">
        <v>60</v>
      </c>
      <c r="C303" s="891">
        <v>80</v>
      </c>
      <c r="D303" s="888">
        <v>202.63</v>
      </c>
      <c r="E303" s="860">
        <v>0.7</v>
      </c>
      <c r="F303" s="860">
        <v>1.1499999999999999</v>
      </c>
      <c r="G303" s="860">
        <v>1.03</v>
      </c>
      <c r="H303" s="860">
        <v>3.14</v>
      </c>
      <c r="I303" s="866">
        <f t="shared" si="33"/>
        <v>171.24486449999995</v>
      </c>
      <c r="J303" s="867"/>
      <c r="K303" s="868">
        <v>30</v>
      </c>
      <c r="L303" s="857"/>
      <c r="M303" s="857"/>
      <c r="N303" s="136"/>
    </row>
    <row r="304" spans="1:14">
      <c r="A304" s="853"/>
      <c r="B304" s="860" t="s">
        <v>62</v>
      </c>
      <c r="C304" s="891">
        <v>100</v>
      </c>
      <c r="D304" s="888">
        <v>271.68</v>
      </c>
      <c r="E304" s="860">
        <v>0.7</v>
      </c>
      <c r="F304" s="860">
        <v>1.1499999999999999</v>
      </c>
      <c r="G304" s="860">
        <v>1.03</v>
      </c>
      <c r="H304" s="860">
        <v>3.86</v>
      </c>
      <c r="I304" s="866">
        <f t="shared" si="33"/>
        <v>229.239272</v>
      </c>
      <c r="J304" s="867"/>
      <c r="K304" s="868">
        <v>30</v>
      </c>
      <c r="L304" s="857"/>
      <c r="M304" s="857"/>
      <c r="N304" s="136"/>
    </row>
    <row r="305" spans="1:14">
      <c r="A305" s="853"/>
      <c r="B305" s="860" t="s">
        <v>63</v>
      </c>
      <c r="C305" s="891">
        <v>100</v>
      </c>
      <c r="D305" s="888">
        <v>299.33999999999997</v>
      </c>
      <c r="E305" s="860">
        <v>0.7</v>
      </c>
      <c r="F305" s="860">
        <v>1.1499999999999999</v>
      </c>
      <c r="G305" s="860">
        <v>1.03</v>
      </c>
      <c r="H305" s="860">
        <v>4.7699999999999996</v>
      </c>
      <c r="I305" s="866">
        <f t="shared" si="33"/>
        <v>253.11086099999997</v>
      </c>
      <c r="J305" s="867"/>
      <c r="K305" s="868">
        <v>35</v>
      </c>
      <c r="L305" s="857"/>
      <c r="M305" s="857"/>
      <c r="N305" s="136"/>
    </row>
    <row r="306" spans="1:14">
      <c r="A306" s="853"/>
      <c r="B306" s="860" t="s">
        <v>66</v>
      </c>
      <c r="C306" s="891">
        <v>100</v>
      </c>
      <c r="D306" s="888">
        <v>369.45</v>
      </c>
      <c r="E306" s="860">
        <v>0.7</v>
      </c>
      <c r="F306" s="860">
        <v>1.1499999999999999</v>
      </c>
      <c r="G306" s="860">
        <v>1.03</v>
      </c>
      <c r="H306" s="860">
        <v>5.67</v>
      </c>
      <c r="I306" s="866">
        <f t="shared" si="33"/>
        <v>312.16956749999991</v>
      </c>
      <c r="J306" s="867"/>
      <c r="K306" s="868">
        <v>35</v>
      </c>
      <c r="L306" s="857"/>
      <c r="M306" s="857"/>
      <c r="N306" s="136"/>
    </row>
    <row r="307" spans="1:14">
      <c r="A307" s="853"/>
      <c r="B307" s="860" t="s">
        <v>121</v>
      </c>
      <c r="C307" s="891">
        <v>100</v>
      </c>
      <c r="D307" s="888">
        <v>451.39</v>
      </c>
      <c r="E307" s="860">
        <v>0.7</v>
      </c>
      <c r="F307" s="860">
        <v>1.1499999999999999</v>
      </c>
      <c r="G307" s="860">
        <v>1.03</v>
      </c>
      <c r="H307" s="860">
        <v>7.48</v>
      </c>
      <c r="I307" s="866">
        <f t="shared" si="33"/>
        <v>381.97441849999996</v>
      </c>
      <c r="J307" s="867"/>
      <c r="K307" s="868">
        <v>35</v>
      </c>
      <c r="L307" s="857"/>
      <c r="M307" s="857"/>
      <c r="N307" s="136"/>
    </row>
    <row r="308" spans="1:14">
      <c r="A308" s="853"/>
      <c r="B308" s="860" t="s">
        <v>122</v>
      </c>
      <c r="C308" s="891">
        <v>100</v>
      </c>
      <c r="D308" s="888">
        <v>479.96</v>
      </c>
      <c r="E308" s="860">
        <v>0.7</v>
      </c>
      <c r="F308" s="860">
        <v>1.1499999999999999</v>
      </c>
      <c r="G308" s="860">
        <v>1.03</v>
      </c>
      <c r="H308" s="860">
        <v>9.2899999999999991</v>
      </c>
      <c r="I308" s="866">
        <f t="shared" si="33"/>
        <v>407.52753399999995</v>
      </c>
      <c r="J308" s="867"/>
      <c r="K308" s="868">
        <v>35</v>
      </c>
      <c r="L308" s="857"/>
      <c r="M308" s="857"/>
      <c r="N308" s="136"/>
    </row>
    <row r="309" spans="1:14">
      <c r="A309" s="853"/>
      <c r="B309" s="860" t="s">
        <v>156</v>
      </c>
      <c r="C309" s="891">
        <v>100</v>
      </c>
      <c r="D309" s="888">
        <v>718.49</v>
      </c>
      <c r="E309" s="860">
        <v>0.7</v>
      </c>
      <c r="F309" s="860">
        <v>1.1499999999999999</v>
      </c>
      <c r="G309" s="860">
        <v>1.03</v>
      </c>
      <c r="H309" s="860">
        <v>10.5</v>
      </c>
      <c r="I309" s="866">
        <f t="shared" si="33"/>
        <v>606.55098349999992</v>
      </c>
      <c r="J309" s="867"/>
      <c r="K309" s="868">
        <v>40</v>
      </c>
      <c r="L309" s="857"/>
      <c r="M309" s="857"/>
      <c r="N309" s="136"/>
    </row>
    <row r="310" spans="1:14">
      <c r="A310" s="853"/>
      <c r="B310" s="860" t="s">
        <v>158</v>
      </c>
      <c r="C310" s="891">
        <v>100</v>
      </c>
      <c r="D310" s="888">
        <v>859.24</v>
      </c>
      <c r="E310" s="860">
        <v>0.7</v>
      </c>
      <c r="F310" s="860">
        <v>1.1499999999999999</v>
      </c>
      <c r="G310" s="860">
        <v>1.03</v>
      </c>
      <c r="H310" s="860">
        <v>12.5</v>
      </c>
      <c r="I310" s="866">
        <f t="shared" si="33"/>
        <v>725.3138459999999</v>
      </c>
      <c r="J310" s="867"/>
      <c r="K310" s="868">
        <v>50</v>
      </c>
      <c r="L310" s="857"/>
      <c r="M310" s="857"/>
      <c r="N310" s="136"/>
    </row>
    <row r="311" spans="1:14">
      <c r="A311" s="853"/>
      <c r="B311" s="853"/>
      <c r="C311" s="886"/>
      <c r="D311" s="856"/>
      <c r="E311" s="853"/>
      <c r="F311" s="853"/>
      <c r="G311" s="853"/>
      <c r="H311" s="853"/>
      <c r="I311" s="850"/>
      <c r="J311" s="850"/>
      <c r="K311" s="851"/>
      <c r="L311" s="857"/>
      <c r="M311" s="857"/>
      <c r="N311" s="136"/>
    </row>
    <row r="312" spans="1:14">
      <c r="A312" s="853"/>
      <c r="B312" s="847" t="s">
        <v>805</v>
      </c>
      <c r="C312" s="848" t="s">
        <v>806</v>
      </c>
      <c r="D312" s="887" t="s">
        <v>887</v>
      </c>
      <c r="E312" s="853"/>
      <c r="F312" s="853"/>
      <c r="G312" s="853"/>
      <c r="H312" s="853"/>
      <c r="I312" s="856"/>
      <c r="J312" s="856"/>
      <c r="K312" s="854"/>
      <c r="L312" s="857"/>
      <c r="M312" s="857"/>
      <c r="N312" s="136"/>
    </row>
    <row r="313" spans="1:14">
      <c r="A313" s="853"/>
      <c r="B313" s="860" t="s">
        <v>769</v>
      </c>
      <c r="C313" s="861" t="s">
        <v>770</v>
      </c>
      <c r="D313" s="888" t="s">
        <v>771</v>
      </c>
      <c r="E313" s="860" t="s">
        <v>613</v>
      </c>
      <c r="F313" s="860" t="s">
        <v>772</v>
      </c>
      <c r="G313" s="860" t="s">
        <v>773</v>
      </c>
      <c r="H313" s="860" t="s">
        <v>774</v>
      </c>
      <c r="I313" s="863" t="s">
        <v>771</v>
      </c>
      <c r="J313" s="889"/>
      <c r="K313" s="890" t="s">
        <v>775</v>
      </c>
      <c r="L313" s="857"/>
      <c r="M313" s="857"/>
      <c r="N313" s="136"/>
    </row>
    <row r="314" spans="1:14">
      <c r="A314" s="853"/>
      <c r="B314" s="860" t="s">
        <v>47</v>
      </c>
      <c r="C314" s="891">
        <v>20</v>
      </c>
      <c r="D314" s="888">
        <v>14.82</v>
      </c>
      <c r="E314" s="860">
        <v>0.7</v>
      </c>
      <c r="F314" s="860">
        <v>1.1000000000000001</v>
      </c>
      <c r="G314" s="860">
        <v>1.03</v>
      </c>
      <c r="H314" s="860">
        <v>1.01</v>
      </c>
      <c r="I314" s="866">
        <f>(((D314*E314)*F314)+H314)*G314</f>
        <v>12.794042000000001</v>
      </c>
      <c r="J314" s="867"/>
      <c r="K314" s="868">
        <v>23</v>
      </c>
      <c r="L314" s="857"/>
      <c r="M314" s="857"/>
      <c r="N314" s="136"/>
    </row>
    <row r="315" spans="1:14">
      <c r="A315" s="853"/>
      <c r="B315" s="860" t="s">
        <v>49</v>
      </c>
      <c r="C315" s="891">
        <v>20</v>
      </c>
      <c r="D315" s="888">
        <v>16.190000000000001</v>
      </c>
      <c r="E315" s="860">
        <v>0.7</v>
      </c>
      <c r="F315" s="860">
        <v>1.1000000000000001</v>
      </c>
      <c r="G315" s="860">
        <v>1.03</v>
      </c>
      <c r="H315" s="860">
        <v>1.01</v>
      </c>
      <c r="I315" s="866">
        <f t="shared" ref="I315:I328" si="34">(((D315*E315)*F315)+H315)*G315</f>
        <v>13.880589000000001</v>
      </c>
      <c r="J315" s="867"/>
      <c r="K315" s="868">
        <v>23</v>
      </c>
      <c r="L315" s="857"/>
      <c r="M315" s="857"/>
      <c r="N315" s="136"/>
    </row>
    <row r="316" spans="1:14">
      <c r="A316" s="853"/>
      <c r="B316" s="860" t="s">
        <v>51</v>
      </c>
      <c r="C316" s="891">
        <v>30</v>
      </c>
      <c r="D316" s="888">
        <v>23.92</v>
      </c>
      <c r="E316" s="860">
        <v>0.7</v>
      </c>
      <c r="F316" s="860">
        <v>1.1000000000000001</v>
      </c>
      <c r="G316" s="860">
        <v>1.03</v>
      </c>
      <c r="H316" s="860">
        <v>1.4</v>
      </c>
      <c r="I316" s="866">
        <f t="shared" si="34"/>
        <v>20.412952000000001</v>
      </c>
      <c r="J316" s="867"/>
      <c r="K316" s="868">
        <v>25</v>
      </c>
      <c r="L316" s="857"/>
      <c r="M316" s="857"/>
      <c r="N316" s="136"/>
    </row>
    <row r="317" spans="1:14">
      <c r="A317" s="853"/>
      <c r="B317" s="860" t="s">
        <v>53</v>
      </c>
      <c r="C317" s="891">
        <v>40</v>
      </c>
      <c r="D317" s="888">
        <v>36.89</v>
      </c>
      <c r="E317" s="860">
        <v>0.7</v>
      </c>
      <c r="F317" s="860">
        <v>1.1000000000000001</v>
      </c>
      <c r="G317" s="860">
        <v>1.03</v>
      </c>
      <c r="H317" s="860">
        <v>1.4</v>
      </c>
      <c r="I317" s="866">
        <f t="shared" si="34"/>
        <v>30.699459000000004</v>
      </c>
      <c r="J317" s="867"/>
      <c r="K317" s="868">
        <v>25</v>
      </c>
      <c r="L317" s="857"/>
      <c r="M317" s="857"/>
      <c r="N317" s="136"/>
    </row>
    <row r="318" spans="1:14">
      <c r="A318" s="853"/>
      <c r="B318" s="860" t="s">
        <v>55</v>
      </c>
      <c r="C318" s="891">
        <v>40</v>
      </c>
      <c r="D318" s="888">
        <v>38.42</v>
      </c>
      <c r="E318" s="860">
        <v>0.7</v>
      </c>
      <c r="F318" s="860">
        <v>1.1000000000000001</v>
      </c>
      <c r="G318" s="860">
        <v>1.03</v>
      </c>
      <c r="H318" s="860">
        <v>1.69</v>
      </c>
      <c r="I318" s="866">
        <f t="shared" si="34"/>
        <v>32.211602000000006</v>
      </c>
      <c r="J318" s="867"/>
      <c r="K318" s="868">
        <v>25</v>
      </c>
      <c r="L318" s="857"/>
      <c r="M318" s="857"/>
      <c r="N318" s="136"/>
    </row>
    <row r="319" spans="1:14">
      <c r="A319" s="853"/>
      <c r="B319" s="860" t="s">
        <v>57</v>
      </c>
      <c r="C319" s="891">
        <v>50</v>
      </c>
      <c r="D319" s="888">
        <v>56.92</v>
      </c>
      <c r="E319" s="860">
        <v>0.7</v>
      </c>
      <c r="F319" s="860">
        <v>1.1499999999999999</v>
      </c>
      <c r="G319" s="860">
        <v>1.03</v>
      </c>
      <c r="H319" s="860">
        <v>2.0499999999999998</v>
      </c>
      <c r="I319" s="866">
        <f t="shared" si="34"/>
        <v>49.306717999999996</v>
      </c>
      <c r="J319" s="867"/>
      <c r="K319" s="868">
        <v>25</v>
      </c>
      <c r="L319" s="857"/>
      <c r="M319" s="857"/>
      <c r="N319" s="136"/>
    </row>
    <row r="320" spans="1:14">
      <c r="A320" s="853"/>
      <c r="B320" s="860" t="s">
        <v>59</v>
      </c>
      <c r="C320" s="891">
        <v>70</v>
      </c>
      <c r="D320" s="888">
        <v>131.52000000000001</v>
      </c>
      <c r="E320" s="860">
        <v>0.7</v>
      </c>
      <c r="F320" s="860">
        <v>1.1499999999999999</v>
      </c>
      <c r="G320" s="860">
        <v>1.03</v>
      </c>
      <c r="H320" s="860">
        <v>2.59</v>
      </c>
      <c r="I320" s="866">
        <f t="shared" si="34"/>
        <v>111.71750800000001</v>
      </c>
      <c r="J320" s="867"/>
      <c r="K320" s="868">
        <v>25</v>
      </c>
      <c r="L320" s="857"/>
      <c r="M320" s="857"/>
      <c r="N320" s="136"/>
    </row>
    <row r="321" spans="1:14">
      <c r="A321" s="853"/>
      <c r="B321" s="860" t="s">
        <v>60</v>
      </c>
      <c r="C321" s="891">
        <v>80</v>
      </c>
      <c r="D321" s="888">
        <v>170.69</v>
      </c>
      <c r="E321" s="860">
        <v>0.7</v>
      </c>
      <c r="F321" s="860">
        <v>1.1499999999999999</v>
      </c>
      <c r="G321" s="860">
        <v>1.03</v>
      </c>
      <c r="H321" s="860">
        <v>3.14</v>
      </c>
      <c r="I321" s="866">
        <f t="shared" si="34"/>
        <v>144.76181349999996</v>
      </c>
      <c r="J321" s="867"/>
      <c r="K321" s="868">
        <v>30</v>
      </c>
      <c r="L321" s="857"/>
      <c r="M321" s="857"/>
      <c r="N321" s="136"/>
    </row>
    <row r="322" spans="1:14">
      <c r="A322" s="853"/>
      <c r="B322" s="860" t="s">
        <v>62</v>
      </c>
      <c r="C322" s="891">
        <v>100</v>
      </c>
      <c r="D322" s="888">
        <v>228.84</v>
      </c>
      <c r="E322" s="860">
        <v>0.7</v>
      </c>
      <c r="F322" s="860">
        <v>1.1499999999999999</v>
      </c>
      <c r="G322" s="860">
        <v>1.03</v>
      </c>
      <c r="H322" s="860">
        <v>3.86</v>
      </c>
      <c r="I322" s="866">
        <f t="shared" si="34"/>
        <v>193.71848599999998</v>
      </c>
      <c r="J322" s="867"/>
      <c r="K322" s="868">
        <v>30</v>
      </c>
      <c r="L322" s="857"/>
      <c r="M322" s="857"/>
      <c r="N322" s="136"/>
    </row>
    <row r="323" spans="1:14">
      <c r="A323" s="853"/>
      <c r="B323" s="860" t="s">
        <v>63</v>
      </c>
      <c r="C323" s="891">
        <v>100</v>
      </c>
      <c r="D323" s="888">
        <v>252.14</v>
      </c>
      <c r="E323" s="860">
        <v>0.7</v>
      </c>
      <c r="F323" s="860">
        <v>1.1499999999999999</v>
      </c>
      <c r="G323" s="860">
        <v>1.03</v>
      </c>
      <c r="H323" s="860">
        <v>4.7699999999999996</v>
      </c>
      <c r="I323" s="866">
        <f t="shared" si="34"/>
        <v>213.97498099999999</v>
      </c>
      <c r="J323" s="867"/>
      <c r="K323" s="868">
        <v>35</v>
      </c>
      <c r="L323" s="857"/>
      <c r="M323" s="857"/>
      <c r="N323" s="136"/>
    </row>
    <row r="324" spans="1:14">
      <c r="A324" s="853"/>
      <c r="B324" s="860" t="s">
        <v>66</v>
      </c>
      <c r="C324" s="891">
        <v>100</v>
      </c>
      <c r="D324" s="888">
        <v>311.2</v>
      </c>
      <c r="E324" s="860">
        <v>0.7</v>
      </c>
      <c r="F324" s="860">
        <v>1.1499999999999999</v>
      </c>
      <c r="G324" s="860">
        <v>1.03</v>
      </c>
      <c r="H324" s="860">
        <v>5.67</v>
      </c>
      <c r="I324" s="866">
        <f t="shared" si="34"/>
        <v>263.87157999999999</v>
      </c>
      <c r="J324" s="867"/>
      <c r="K324" s="868">
        <v>35</v>
      </c>
      <c r="L324" s="857"/>
      <c r="M324" s="857"/>
      <c r="N324" s="136"/>
    </row>
    <row r="325" spans="1:14">
      <c r="A325" s="853"/>
      <c r="B325" s="860" t="s">
        <v>121</v>
      </c>
      <c r="C325" s="891">
        <v>100</v>
      </c>
      <c r="D325" s="888">
        <v>380.21</v>
      </c>
      <c r="E325" s="860">
        <v>0.7</v>
      </c>
      <c r="F325" s="860">
        <v>1.1499999999999999</v>
      </c>
      <c r="G325" s="860">
        <v>1.03</v>
      </c>
      <c r="H325" s="860">
        <v>7.48</v>
      </c>
      <c r="I325" s="866">
        <f t="shared" si="34"/>
        <v>322.95552149999997</v>
      </c>
      <c r="J325" s="867"/>
      <c r="K325" s="868">
        <v>35</v>
      </c>
      <c r="L325" s="857"/>
      <c r="M325" s="857"/>
      <c r="N325" s="136"/>
    </row>
    <row r="326" spans="1:14">
      <c r="A326" s="853"/>
      <c r="B326" s="860" t="s">
        <v>122</v>
      </c>
      <c r="C326" s="891">
        <v>100</v>
      </c>
      <c r="D326" s="888">
        <v>404.28</v>
      </c>
      <c r="E326" s="860">
        <v>0.7</v>
      </c>
      <c r="F326" s="860">
        <v>1.1499999999999999</v>
      </c>
      <c r="G326" s="860">
        <v>1.03</v>
      </c>
      <c r="H326" s="860">
        <v>9.2899999999999991</v>
      </c>
      <c r="I326" s="866">
        <f t="shared" si="34"/>
        <v>344.77746199999996</v>
      </c>
      <c r="J326" s="867"/>
      <c r="K326" s="868">
        <v>35</v>
      </c>
      <c r="L326" s="857"/>
      <c r="M326" s="857"/>
      <c r="N326" s="136"/>
    </row>
    <row r="327" spans="1:14">
      <c r="A327" s="853"/>
      <c r="B327" s="860" t="s">
        <v>156</v>
      </c>
      <c r="C327" s="891">
        <v>100</v>
      </c>
      <c r="D327" s="888">
        <v>606.20000000000005</v>
      </c>
      <c r="E327" s="860">
        <v>0.7</v>
      </c>
      <c r="F327" s="860">
        <v>1.1499999999999999</v>
      </c>
      <c r="G327" s="860">
        <v>1.03</v>
      </c>
      <c r="H327" s="860">
        <v>10.5</v>
      </c>
      <c r="I327" s="866">
        <f t="shared" si="34"/>
        <v>513.44573000000003</v>
      </c>
      <c r="J327" s="867"/>
      <c r="K327" s="868">
        <v>40</v>
      </c>
      <c r="L327" s="857"/>
      <c r="M327" s="857"/>
      <c r="N327" s="136"/>
    </row>
    <row r="328" spans="1:14">
      <c r="A328" s="853"/>
      <c r="B328" s="860" t="s">
        <v>158</v>
      </c>
      <c r="C328" s="891">
        <v>100</v>
      </c>
      <c r="D328" s="888">
        <v>723.75</v>
      </c>
      <c r="E328" s="860">
        <v>0.7</v>
      </c>
      <c r="F328" s="860">
        <v>1.1499999999999999</v>
      </c>
      <c r="G328" s="860">
        <v>1.03</v>
      </c>
      <c r="H328" s="860">
        <v>12.5</v>
      </c>
      <c r="I328" s="866">
        <f t="shared" si="34"/>
        <v>612.97231249999993</v>
      </c>
      <c r="J328" s="867"/>
      <c r="K328" s="868">
        <v>40</v>
      </c>
      <c r="L328" s="857"/>
      <c r="M328" s="857"/>
      <c r="N328" s="136"/>
    </row>
    <row r="329" spans="1:14">
      <c r="A329" s="853"/>
      <c r="B329" s="847"/>
      <c r="C329" s="854"/>
      <c r="D329" s="855"/>
      <c r="E329" s="853"/>
      <c r="F329" s="853"/>
      <c r="G329" s="853"/>
      <c r="H329" s="853"/>
      <c r="I329" s="856"/>
      <c r="J329" s="856"/>
      <c r="K329" s="851"/>
      <c r="L329" s="857"/>
      <c r="M329" s="857"/>
      <c r="N329" s="136"/>
    </row>
    <row r="330" spans="1:14">
      <c r="A330" s="853"/>
      <c r="B330" s="847" t="s">
        <v>805</v>
      </c>
      <c r="C330" s="848" t="s">
        <v>806</v>
      </c>
      <c r="D330" s="887" t="s">
        <v>886</v>
      </c>
      <c r="E330" s="853"/>
      <c r="F330" s="853"/>
      <c r="G330" s="853"/>
      <c r="H330" s="853"/>
      <c r="I330" s="856"/>
      <c r="J330" s="856"/>
      <c r="K330" s="854"/>
      <c r="L330" s="857"/>
      <c r="M330" s="857"/>
      <c r="N330" s="136"/>
    </row>
    <row r="331" spans="1:14">
      <c r="A331" s="853"/>
      <c r="B331" s="860" t="s">
        <v>769</v>
      </c>
      <c r="C331" s="861" t="s">
        <v>770</v>
      </c>
      <c r="D331" s="888" t="s">
        <v>771</v>
      </c>
      <c r="E331" s="860" t="s">
        <v>613</v>
      </c>
      <c r="F331" s="860" t="s">
        <v>772</v>
      </c>
      <c r="G331" s="860" t="s">
        <v>773</v>
      </c>
      <c r="H331" s="860" t="s">
        <v>774</v>
      </c>
      <c r="I331" s="863" t="s">
        <v>771</v>
      </c>
      <c r="J331" s="889"/>
      <c r="K331" s="890" t="s">
        <v>775</v>
      </c>
      <c r="L331" s="857"/>
      <c r="M331" s="857"/>
      <c r="N331" s="136"/>
    </row>
    <row r="332" spans="1:14">
      <c r="A332" s="853"/>
      <c r="B332" s="860" t="s">
        <v>47</v>
      </c>
      <c r="C332" s="892">
        <v>25</v>
      </c>
      <c r="D332" s="888">
        <v>22</v>
      </c>
      <c r="E332" s="860">
        <v>0.7</v>
      </c>
      <c r="F332" s="860">
        <v>1.1000000000000001</v>
      </c>
      <c r="G332" s="860">
        <v>1.03</v>
      </c>
      <c r="H332" s="860">
        <v>1.01</v>
      </c>
      <c r="I332" s="866">
        <f>(((D332*E332)*F332)+H332)*G332</f>
        <v>18.488500000000002</v>
      </c>
      <c r="J332" s="867"/>
      <c r="K332" s="868">
        <v>23</v>
      </c>
      <c r="L332" s="857"/>
      <c r="M332" s="857"/>
      <c r="N332" s="136"/>
    </row>
    <row r="333" spans="1:14">
      <c r="A333" s="853"/>
      <c r="B333" s="860" t="s">
        <v>49</v>
      </c>
      <c r="C333" s="892">
        <v>25</v>
      </c>
      <c r="D333" s="888">
        <v>24.97</v>
      </c>
      <c r="E333" s="860">
        <v>0.7</v>
      </c>
      <c r="F333" s="860">
        <v>1.1000000000000001</v>
      </c>
      <c r="G333" s="860">
        <v>1.03</v>
      </c>
      <c r="H333" s="860">
        <v>1.01</v>
      </c>
      <c r="I333" s="866">
        <f t="shared" ref="I333:I346" si="35">(((D333*E333)*F333)+H333)*G333</f>
        <v>20.844007000000001</v>
      </c>
      <c r="J333" s="867"/>
      <c r="K333" s="868">
        <v>23</v>
      </c>
      <c r="L333" s="893" t="s">
        <v>888</v>
      </c>
      <c r="M333" s="893"/>
      <c r="N333" s="136"/>
    </row>
    <row r="334" spans="1:14">
      <c r="A334" s="853"/>
      <c r="B334" s="860" t="s">
        <v>51</v>
      </c>
      <c r="C334" s="892">
        <v>40</v>
      </c>
      <c r="D334" s="888">
        <v>40.840000000000003</v>
      </c>
      <c r="E334" s="860">
        <v>0.7</v>
      </c>
      <c r="F334" s="860">
        <v>1.1000000000000001</v>
      </c>
      <c r="G334" s="860">
        <v>1.03</v>
      </c>
      <c r="H334" s="860">
        <v>1.4</v>
      </c>
      <c r="I334" s="866">
        <f t="shared" si="35"/>
        <v>33.832204000000004</v>
      </c>
      <c r="J334" s="867"/>
      <c r="K334" s="868">
        <v>25</v>
      </c>
      <c r="L334" s="893" t="s">
        <v>888</v>
      </c>
      <c r="M334" s="893"/>
      <c r="N334" s="136"/>
    </row>
    <row r="335" spans="1:14">
      <c r="A335" s="853"/>
      <c r="B335" s="860" t="s">
        <v>53</v>
      </c>
      <c r="C335" s="892">
        <v>50</v>
      </c>
      <c r="D335" s="888">
        <v>55.34</v>
      </c>
      <c r="E335" s="860">
        <v>0.7</v>
      </c>
      <c r="F335" s="860">
        <v>1.1000000000000001</v>
      </c>
      <c r="G335" s="860">
        <v>1.03</v>
      </c>
      <c r="H335" s="860">
        <v>1.4</v>
      </c>
      <c r="I335" s="866">
        <f t="shared" si="35"/>
        <v>45.332154000000003</v>
      </c>
      <c r="J335" s="867"/>
      <c r="K335" s="868">
        <v>25</v>
      </c>
      <c r="L335" s="893" t="s">
        <v>888</v>
      </c>
      <c r="M335" s="893"/>
      <c r="N335" s="136"/>
    </row>
    <row r="336" spans="1:14">
      <c r="A336" s="853"/>
      <c r="B336" s="860" t="s">
        <v>55</v>
      </c>
      <c r="C336" s="892">
        <v>50</v>
      </c>
      <c r="D336" s="888">
        <v>62.11</v>
      </c>
      <c r="E336" s="860">
        <v>0.7</v>
      </c>
      <c r="F336" s="860">
        <v>1.1000000000000001</v>
      </c>
      <c r="G336" s="860">
        <v>1.03</v>
      </c>
      <c r="H336" s="860">
        <v>1.69</v>
      </c>
      <c r="I336" s="866">
        <f t="shared" si="35"/>
        <v>51.000140999999999</v>
      </c>
      <c r="J336" s="867"/>
      <c r="K336" s="868">
        <v>25</v>
      </c>
      <c r="L336" s="893" t="s">
        <v>888</v>
      </c>
      <c r="M336" s="893"/>
      <c r="N336" s="136"/>
    </row>
    <row r="337" spans="1:14">
      <c r="A337" s="853"/>
      <c r="B337" s="860" t="s">
        <v>57</v>
      </c>
      <c r="C337" s="892">
        <v>60</v>
      </c>
      <c r="D337" s="888">
        <v>89.11</v>
      </c>
      <c r="E337" s="860">
        <v>0.7</v>
      </c>
      <c r="F337" s="860">
        <v>1.1499999999999999</v>
      </c>
      <c r="G337" s="860">
        <v>1.03</v>
      </c>
      <c r="H337" s="860">
        <v>2.0499999999999998</v>
      </c>
      <c r="I337" s="866">
        <f t="shared" si="35"/>
        <v>75.997056499999999</v>
      </c>
      <c r="J337" s="867"/>
      <c r="K337" s="868">
        <v>25</v>
      </c>
      <c r="L337" s="893" t="s">
        <v>888</v>
      </c>
      <c r="M337" s="893"/>
      <c r="N337" s="136"/>
    </row>
    <row r="338" spans="1:14">
      <c r="A338" s="853"/>
      <c r="B338" s="860" t="s">
        <v>59</v>
      </c>
      <c r="C338" s="892">
        <v>80</v>
      </c>
      <c r="D338" s="888">
        <v>156.65</v>
      </c>
      <c r="E338" s="860">
        <v>0.7</v>
      </c>
      <c r="F338" s="860">
        <v>1.1499999999999999</v>
      </c>
      <c r="G338" s="860">
        <v>1.03</v>
      </c>
      <c r="H338" s="860">
        <v>2.59</v>
      </c>
      <c r="I338" s="866">
        <f t="shared" si="35"/>
        <v>132.55404749999997</v>
      </c>
      <c r="J338" s="867"/>
      <c r="K338" s="868">
        <v>25</v>
      </c>
      <c r="L338" s="893" t="s">
        <v>888</v>
      </c>
      <c r="M338" s="893"/>
      <c r="N338" s="136"/>
    </row>
    <row r="339" spans="1:14">
      <c r="A339" s="853"/>
      <c r="B339" s="860" t="s">
        <v>60</v>
      </c>
      <c r="C339" s="892">
        <v>90</v>
      </c>
      <c r="D339" s="888">
        <v>220.05</v>
      </c>
      <c r="E339" s="860">
        <v>0.7</v>
      </c>
      <c r="F339" s="860">
        <v>1.1499999999999999</v>
      </c>
      <c r="G339" s="860">
        <v>1.03</v>
      </c>
      <c r="H339" s="860">
        <v>3.14</v>
      </c>
      <c r="I339" s="866">
        <f t="shared" si="35"/>
        <v>185.68865749999998</v>
      </c>
      <c r="J339" s="867"/>
      <c r="K339" s="868">
        <v>30</v>
      </c>
      <c r="L339" s="893" t="s">
        <v>888</v>
      </c>
      <c r="M339" s="893"/>
      <c r="N339" s="136"/>
    </row>
    <row r="340" spans="1:14">
      <c r="A340" s="853"/>
      <c r="B340" s="860" t="s">
        <v>62</v>
      </c>
      <c r="C340" s="892">
        <v>110</v>
      </c>
      <c r="D340" s="888">
        <v>328.46</v>
      </c>
      <c r="E340" s="860">
        <v>0.7</v>
      </c>
      <c r="F340" s="860">
        <v>1.1499999999999999</v>
      </c>
      <c r="G340" s="860">
        <v>1.03</v>
      </c>
      <c r="H340" s="860">
        <v>3.86</v>
      </c>
      <c r="I340" s="866">
        <f t="shared" si="35"/>
        <v>276.31840899999997</v>
      </c>
      <c r="J340" s="867"/>
      <c r="K340" s="868">
        <v>30</v>
      </c>
      <c r="L340" s="893" t="s">
        <v>888</v>
      </c>
      <c r="M340" s="893"/>
      <c r="N340" s="136"/>
    </row>
    <row r="341" spans="1:14">
      <c r="A341" s="853"/>
      <c r="B341" s="860" t="s">
        <v>63</v>
      </c>
      <c r="C341" s="892">
        <v>110</v>
      </c>
      <c r="D341" s="888">
        <v>354.88</v>
      </c>
      <c r="E341" s="860">
        <v>0.7</v>
      </c>
      <c r="F341" s="860">
        <v>1.1499999999999999</v>
      </c>
      <c r="G341" s="860">
        <v>1.03</v>
      </c>
      <c r="H341" s="860">
        <v>4.7699999999999996</v>
      </c>
      <c r="I341" s="866">
        <f t="shared" si="35"/>
        <v>299.16185199999995</v>
      </c>
      <c r="J341" s="867"/>
      <c r="K341" s="868">
        <v>35</v>
      </c>
      <c r="L341" s="893" t="s">
        <v>888</v>
      </c>
      <c r="M341" s="893"/>
      <c r="N341" s="136"/>
    </row>
    <row r="342" spans="1:14">
      <c r="A342" s="853"/>
      <c r="B342" s="860" t="s">
        <v>66</v>
      </c>
      <c r="C342" s="892">
        <v>110</v>
      </c>
      <c r="D342" s="888">
        <v>429.58</v>
      </c>
      <c r="E342" s="860">
        <v>0.7</v>
      </c>
      <c r="F342" s="860">
        <v>1.1499999999999999</v>
      </c>
      <c r="G342" s="860">
        <v>1.03</v>
      </c>
      <c r="H342" s="860">
        <v>5.67</v>
      </c>
      <c r="I342" s="866">
        <f t="shared" si="35"/>
        <v>362.02635699999996</v>
      </c>
      <c r="J342" s="867"/>
      <c r="K342" s="868">
        <v>35</v>
      </c>
      <c r="L342" s="893" t="s">
        <v>888</v>
      </c>
      <c r="M342" s="893"/>
      <c r="N342" s="136"/>
    </row>
    <row r="343" spans="1:14">
      <c r="A343" s="853"/>
      <c r="B343" s="860" t="s">
        <v>121</v>
      </c>
      <c r="C343" s="892">
        <v>110</v>
      </c>
      <c r="D343" s="888">
        <v>558.1</v>
      </c>
      <c r="E343" s="860">
        <v>0.7</v>
      </c>
      <c r="F343" s="860">
        <v>1.1499999999999999</v>
      </c>
      <c r="G343" s="860">
        <v>1.03</v>
      </c>
      <c r="H343" s="860">
        <v>7.48</v>
      </c>
      <c r="I343" s="866">
        <f t="shared" si="35"/>
        <v>470.45301499999999</v>
      </c>
      <c r="J343" s="867"/>
      <c r="K343" s="868">
        <v>35</v>
      </c>
      <c r="L343" s="893" t="s">
        <v>888</v>
      </c>
      <c r="M343" s="893"/>
      <c r="N343" s="136"/>
    </row>
    <row r="344" spans="1:14">
      <c r="A344" s="853"/>
      <c r="B344" s="860" t="s">
        <v>122</v>
      </c>
      <c r="C344" s="892">
        <v>110</v>
      </c>
      <c r="D344" s="888">
        <v>581.36</v>
      </c>
      <c r="E344" s="860">
        <v>0.7</v>
      </c>
      <c r="F344" s="860">
        <v>1.1499999999999999</v>
      </c>
      <c r="G344" s="860">
        <v>1.03</v>
      </c>
      <c r="H344" s="860">
        <v>9.2899999999999991</v>
      </c>
      <c r="I344" s="866">
        <f t="shared" si="35"/>
        <v>491.60334399999999</v>
      </c>
      <c r="J344" s="867"/>
      <c r="K344" s="868">
        <v>35</v>
      </c>
      <c r="L344" s="893" t="s">
        <v>888</v>
      </c>
      <c r="M344" s="893"/>
      <c r="N344" s="136"/>
    </row>
    <row r="345" spans="1:14">
      <c r="A345" s="853"/>
      <c r="B345" s="860" t="s">
        <v>156</v>
      </c>
      <c r="C345" s="892">
        <v>110</v>
      </c>
      <c r="D345" s="888">
        <v>790.35</v>
      </c>
      <c r="E345" s="860">
        <v>0.7</v>
      </c>
      <c r="F345" s="860">
        <v>1.1499999999999999</v>
      </c>
      <c r="G345" s="860">
        <v>1.03</v>
      </c>
      <c r="H345" s="860">
        <v>10.5</v>
      </c>
      <c r="I345" s="866">
        <f t="shared" si="35"/>
        <v>666.13370249999991</v>
      </c>
      <c r="J345" s="867"/>
      <c r="K345" s="868">
        <v>40</v>
      </c>
      <c r="L345" s="893" t="s">
        <v>888</v>
      </c>
      <c r="M345" s="893"/>
      <c r="N345" s="136"/>
    </row>
    <row r="346" spans="1:14">
      <c r="A346" s="853"/>
      <c r="B346" s="860" t="s">
        <v>158</v>
      </c>
      <c r="C346" s="892">
        <v>110</v>
      </c>
      <c r="D346" s="888">
        <v>945.19</v>
      </c>
      <c r="E346" s="860">
        <v>0.7</v>
      </c>
      <c r="F346" s="860">
        <v>1.1499999999999999</v>
      </c>
      <c r="G346" s="860">
        <v>1.03</v>
      </c>
      <c r="H346" s="860">
        <v>12.5</v>
      </c>
      <c r="I346" s="866">
        <f t="shared" si="35"/>
        <v>796.57928849999996</v>
      </c>
      <c r="J346" s="867"/>
      <c r="K346" s="868">
        <v>40</v>
      </c>
      <c r="L346" s="893" t="s">
        <v>888</v>
      </c>
      <c r="M346" s="893"/>
      <c r="N346" s="136"/>
    </row>
    <row r="347" spans="1:14">
      <c r="A347" s="853"/>
      <c r="B347" s="853"/>
      <c r="C347" s="894"/>
      <c r="D347" s="856"/>
      <c r="E347" s="853"/>
      <c r="F347" s="853"/>
      <c r="G347" s="853"/>
      <c r="H347" s="853"/>
      <c r="I347" s="850"/>
      <c r="J347" s="850"/>
      <c r="K347" s="851"/>
      <c r="L347" s="893"/>
      <c r="M347" s="893"/>
      <c r="N347" s="136"/>
    </row>
    <row r="348" spans="1:14">
      <c r="A348" s="853"/>
      <c r="B348" s="847"/>
      <c r="C348" s="854"/>
      <c r="D348" s="855"/>
      <c r="E348" s="853"/>
      <c r="F348" s="853"/>
      <c r="G348" s="853"/>
      <c r="H348" s="853"/>
      <c r="I348" s="856"/>
      <c r="J348" s="856"/>
      <c r="K348" s="851"/>
      <c r="L348" s="857"/>
      <c r="M348" s="857"/>
      <c r="N348" s="136"/>
    </row>
    <row r="349" spans="1:14">
      <c r="A349" s="853"/>
      <c r="B349" s="847" t="s">
        <v>805</v>
      </c>
      <c r="C349" s="848" t="s">
        <v>806</v>
      </c>
      <c r="D349" s="887" t="s">
        <v>887</v>
      </c>
      <c r="E349" s="853"/>
      <c r="F349" s="853"/>
      <c r="G349" s="853"/>
      <c r="H349" s="853"/>
      <c r="I349" s="856"/>
      <c r="J349" s="856"/>
      <c r="K349" s="854"/>
      <c r="L349" s="857"/>
      <c r="M349" s="857"/>
      <c r="N349" s="136"/>
    </row>
    <row r="350" spans="1:14">
      <c r="A350" s="853"/>
      <c r="B350" s="860" t="s">
        <v>769</v>
      </c>
      <c r="C350" s="861" t="s">
        <v>770</v>
      </c>
      <c r="D350" s="888" t="s">
        <v>771</v>
      </c>
      <c r="E350" s="860" t="s">
        <v>613</v>
      </c>
      <c r="F350" s="860" t="s">
        <v>772</v>
      </c>
      <c r="G350" s="860" t="s">
        <v>773</v>
      </c>
      <c r="H350" s="860" t="s">
        <v>774</v>
      </c>
      <c r="I350" s="863" t="s">
        <v>771</v>
      </c>
      <c r="J350" s="889"/>
      <c r="K350" s="890" t="s">
        <v>775</v>
      </c>
      <c r="L350" s="857"/>
      <c r="M350" s="857"/>
      <c r="N350" s="136"/>
    </row>
    <row r="351" spans="1:14">
      <c r="A351" s="853"/>
      <c r="B351" s="860" t="s">
        <v>47</v>
      </c>
      <c r="C351" s="892">
        <v>25</v>
      </c>
      <c r="D351" s="888">
        <v>18.71</v>
      </c>
      <c r="E351" s="860">
        <v>0.7</v>
      </c>
      <c r="F351" s="860">
        <v>1.1000000000000001</v>
      </c>
      <c r="G351" s="860">
        <v>1.03</v>
      </c>
      <c r="H351" s="860">
        <v>1.01</v>
      </c>
      <c r="I351" s="866">
        <f>(((D351*E351)*F351)+H351)*G351</f>
        <v>15.879201</v>
      </c>
      <c r="J351" s="867"/>
      <c r="K351" s="868">
        <v>23</v>
      </c>
      <c r="L351" s="857"/>
      <c r="M351" s="857"/>
      <c r="N351" s="136"/>
    </row>
    <row r="352" spans="1:14">
      <c r="A352" s="853"/>
      <c r="B352" s="860" t="s">
        <v>49</v>
      </c>
      <c r="C352" s="892">
        <v>25</v>
      </c>
      <c r="D352" s="888">
        <v>21.04</v>
      </c>
      <c r="E352" s="860">
        <v>0.7</v>
      </c>
      <c r="F352" s="860">
        <v>1.1000000000000001</v>
      </c>
      <c r="G352" s="860">
        <v>1.03</v>
      </c>
      <c r="H352" s="860">
        <v>1.01</v>
      </c>
      <c r="I352" s="866">
        <f t="shared" ref="I352:I365" si="36">(((D352*E352)*F352)+H352)*G352</f>
        <v>17.727124</v>
      </c>
      <c r="J352" s="867"/>
      <c r="K352" s="868">
        <v>23</v>
      </c>
      <c r="L352" s="893" t="s">
        <v>888</v>
      </c>
      <c r="M352" s="893"/>
      <c r="N352" s="136"/>
    </row>
    <row r="353" spans="1:14">
      <c r="A353" s="853"/>
      <c r="B353" s="860" t="s">
        <v>51</v>
      </c>
      <c r="C353" s="892">
        <v>30</v>
      </c>
      <c r="D353" s="888">
        <v>23.92</v>
      </c>
      <c r="E353" s="860">
        <v>0.7</v>
      </c>
      <c r="F353" s="860">
        <v>1.1000000000000001</v>
      </c>
      <c r="G353" s="860">
        <v>1.03</v>
      </c>
      <c r="H353" s="860">
        <v>1.4</v>
      </c>
      <c r="I353" s="866">
        <f t="shared" si="36"/>
        <v>20.412952000000001</v>
      </c>
      <c r="J353" s="867"/>
      <c r="K353" s="868">
        <v>25</v>
      </c>
      <c r="L353" s="893" t="s">
        <v>888</v>
      </c>
      <c r="M353" s="893"/>
      <c r="N353" s="136"/>
    </row>
    <row r="354" spans="1:14">
      <c r="A354" s="853"/>
      <c r="B354" s="860" t="s">
        <v>53</v>
      </c>
      <c r="C354" s="892">
        <v>40</v>
      </c>
      <c r="D354" s="888">
        <v>36.89</v>
      </c>
      <c r="E354" s="860">
        <v>0.7</v>
      </c>
      <c r="F354" s="860">
        <v>1.1000000000000001</v>
      </c>
      <c r="G354" s="860">
        <v>1.03</v>
      </c>
      <c r="H354" s="860">
        <v>1.4</v>
      </c>
      <c r="I354" s="866">
        <f t="shared" si="36"/>
        <v>30.699459000000004</v>
      </c>
      <c r="J354" s="867"/>
      <c r="K354" s="868">
        <v>25</v>
      </c>
      <c r="L354" s="893" t="s">
        <v>888</v>
      </c>
      <c r="M354" s="893"/>
      <c r="N354" s="136"/>
    </row>
    <row r="355" spans="1:14">
      <c r="A355" s="853"/>
      <c r="B355" s="860" t="s">
        <v>55</v>
      </c>
      <c r="C355" s="892">
        <v>50</v>
      </c>
      <c r="D355" s="888">
        <v>46.62</v>
      </c>
      <c r="E355" s="860">
        <v>0.7</v>
      </c>
      <c r="F355" s="860">
        <v>1.1000000000000001</v>
      </c>
      <c r="G355" s="860">
        <v>1.03</v>
      </c>
      <c r="H355" s="860">
        <v>1.69</v>
      </c>
      <c r="I355" s="866">
        <f t="shared" si="36"/>
        <v>38.715021999999998</v>
      </c>
      <c r="J355" s="867"/>
      <c r="K355" s="868">
        <v>25</v>
      </c>
      <c r="L355" s="893" t="s">
        <v>888</v>
      </c>
      <c r="M355" s="893"/>
      <c r="N355" s="136"/>
    </row>
    <row r="356" spans="1:14">
      <c r="A356" s="853"/>
      <c r="B356" s="860" t="s">
        <v>57</v>
      </c>
      <c r="C356" s="892">
        <v>60</v>
      </c>
      <c r="D356" s="888">
        <v>71.989999999999995</v>
      </c>
      <c r="E356" s="860">
        <v>0.7</v>
      </c>
      <c r="F356" s="860">
        <v>1.1499999999999999</v>
      </c>
      <c r="G356" s="860">
        <v>1.03</v>
      </c>
      <c r="H356" s="860">
        <v>2.0499999999999998</v>
      </c>
      <c r="I356" s="866">
        <f t="shared" si="36"/>
        <v>61.802008499999985</v>
      </c>
      <c r="J356" s="867"/>
      <c r="K356" s="868">
        <v>25</v>
      </c>
      <c r="L356" s="893" t="s">
        <v>888</v>
      </c>
      <c r="M356" s="893"/>
      <c r="N356" s="136"/>
    </row>
    <row r="357" spans="1:14">
      <c r="A357" s="853"/>
      <c r="B357" s="860" t="s">
        <v>59</v>
      </c>
      <c r="C357" s="892">
        <v>80</v>
      </c>
      <c r="D357" s="888">
        <v>131.94999999999999</v>
      </c>
      <c r="E357" s="860">
        <v>0.7</v>
      </c>
      <c r="F357" s="860">
        <v>1.1499999999999999</v>
      </c>
      <c r="G357" s="860">
        <v>1.03</v>
      </c>
      <c r="H357" s="860">
        <v>2.59</v>
      </c>
      <c r="I357" s="866">
        <f t="shared" si="36"/>
        <v>112.07404249999998</v>
      </c>
      <c r="J357" s="867"/>
      <c r="K357" s="868">
        <v>25</v>
      </c>
      <c r="L357" s="893" t="s">
        <v>888</v>
      </c>
      <c r="M357" s="893"/>
      <c r="N357" s="136"/>
    </row>
    <row r="358" spans="1:14">
      <c r="A358" s="853"/>
      <c r="B358" s="860" t="s">
        <v>60</v>
      </c>
      <c r="C358" s="892">
        <v>90</v>
      </c>
      <c r="D358" s="888">
        <v>185.35</v>
      </c>
      <c r="E358" s="860">
        <v>0.7</v>
      </c>
      <c r="F358" s="860">
        <v>1.1499999999999999</v>
      </c>
      <c r="G358" s="860">
        <v>1.03</v>
      </c>
      <c r="H358" s="860">
        <v>3.14</v>
      </c>
      <c r="I358" s="866">
        <f t="shared" si="36"/>
        <v>156.91715249999996</v>
      </c>
      <c r="J358" s="867"/>
      <c r="K358" s="868">
        <v>30</v>
      </c>
      <c r="L358" s="893" t="s">
        <v>888</v>
      </c>
      <c r="M358" s="893"/>
      <c r="N358" s="136"/>
    </row>
    <row r="359" spans="1:14">
      <c r="A359" s="853"/>
      <c r="B359" s="860" t="s">
        <v>62</v>
      </c>
      <c r="C359" s="892">
        <v>110</v>
      </c>
      <c r="D359" s="888">
        <v>276.67</v>
      </c>
      <c r="E359" s="860">
        <v>0.7</v>
      </c>
      <c r="F359" s="860">
        <v>1.1499999999999999</v>
      </c>
      <c r="G359" s="860">
        <v>1.03</v>
      </c>
      <c r="H359" s="860">
        <v>3.86</v>
      </c>
      <c r="I359" s="866">
        <f t="shared" si="36"/>
        <v>233.37673050000001</v>
      </c>
      <c r="J359" s="867"/>
      <c r="K359" s="868">
        <v>30</v>
      </c>
      <c r="L359" s="893" t="s">
        <v>888</v>
      </c>
      <c r="M359" s="893"/>
      <c r="N359" s="136"/>
    </row>
    <row r="360" spans="1:14">
      <c r="A360" s="853"/>
      <c r="B360" s="860" t="s">
        <v>63</v>
      </c>
      <c r="C360" s="892">
        <v>110</v>
      </c>
      <c r="D360" s="888">
        <v>298.92</v>
      </c>
      <c r="E360" s="860">
        <v>0.7</v>
      </c>
      <c r="F360" s="860">
        <v>1.1499999999999999</v>
      </c>
      <c r="G360" s="860">
        <v>1.03</v>
      </c>
      <c r="H360" s="860">
        <v>4.7699999999999996</v>
      </c>
      <c r="I360" s="866">
        <f t="shared" si="36"/>
        <v>252.762618</v>
      </c>
      <c r="J360" s="867"/>
      <c r="K360" s="868">
        <v>35</v>
      </c>
      <c r="L360" s="893" t="s">
        <v>888</v>
      </c>
      <c r="M360" s="893"/>
      <c r="N360" s="136"/>
    </row>
    <row r="361" spans="1:14">
      <c r="A361" s="853"/>
      <c r="B361" s="860" t="s">
        <v>66</v>
      </c>
      <c r="C361" s="892">
        <v>110</v>
      </c>
      <c r="D361" s="888">
        <v>361.84</v>
      </c>
      <c r="E361" s="860">
        <v>0.7</v>
      </c>
      <c r="F361" s="860">
        <v>1.1499999999999999</v>
      </c>
      <c r="G361" s="860">
        <v>1.03</v>
      </c>
      <c r="H361" s="860">
        <v>5.67</v>
      </c>
      <c r="I361" s="866">
        <f t="shared" si="36"/>
        <v>305.85973599999994</v>
      </c>
      <c r="J361" s="867"/>
      <c r="K361" s="868">
        <v>35</v>
      </c>
      <c r="L361" s="893" t="s">
        <v>888</v>
      </c>
      <c r="M361" s="893"/>
      <c r="N361" s="136"/>
    </row>
    <row r="362" spans="1:14">
      <c r="A362" s="853"/>
      <c r="B362" s="860" t="s">
        <v>121</v>
      </c>
      <c r="C362" s="892">
        <v>110</v>
      </c>
      <c r="D362" s="888">
        <v>470.1</v>
      </c>
      <c r="E362" s="860">
        <v>0.7</v>
      </c>
      <c r="F362" s="860">
        <v>1.1499999999999999</v>
      </c>
      <c r="G362" s="860">
        <v>1.03</v>
      </c>
      <c r="H362" s="860">
        <v>7.48</v>
      </c>
      <c r="I362" s="866">
        <f t="shared" si="36"/>
        <v>397.48781499999996</v>
      </c>
      <c r="J362" s="867"/>
      <c r="K362" s="868">
        <v>35</v>
      </c>
      <c r="L362" s="893" t="s">
        <v>888</v>
      </c>
      <c r="M362" s="893"/>
      <c r="N362" s="136"/>
    </row>
    <row r="363" spans="1:14">
      <c r="A363" s="853"/>
      <c r="B363" s="860" t="s">
        <v>122</v>
      </c>
      <c r="C363" s="892">
        <v>110</v>
      </c>
      <c r="D363" s="888">
        <v>489.62</v>
      </c>
      <c r="E363" s="860">
        <v>0.7</v>
      </c>
      <c r="F363" s="860">
        <v>1.1499999999999999</v>
      </c>
      <c r="G363" s="860">
        <v>1.03</v>
      </c>
      <c r="H363" s="860">
        <v>9.2899999999999991</v>
      </c>
      <c r="I363" s="866">
        <f t="shared" si="36"/>
        <v>415.53712299999995</v>
      </c>
      <c r="J363" s="867"/>
      <c r="K363" s="868">
        <v>35</v>
      </c>
      <c r="L363" s="893" t="s">
        <v>888</v>
      </c>
      <c r="M363" s="893"/>
      <c r="N363" s="136"/>
    </row>
    <row r="364" spans="1:14">
      <c r="A364" s="853"/>
      <c r="B364" s="860" t="s">
        <v>156</v>
      </c>
      <c r="C364" s="892">
        <v>110</v>
      </c>
      <c r="D364" s="888">
        <v>665.72</v>
      </c>
      <c r="E364" s="860">
        <v>0.7</v>
      </c>
      <c r="F364" s="860">
        <v>1.1499999999999999</v>
      </c>
      <c r="G364" s="860">
        <v>1.03</v>
      </c>
      <c r="H364" s="860">
        <v>10.5</v>
      </c>
      <c r="I364" s="866">
        <f t="shared" si="36"/>
        <v>562.796738</v>
      </c>
      <c r="J364" s="867"/>
      <c r="K364" s="868">
        <v>40</v>
      </c>
      <c r="L364" s="893" t="s">
        <v>888</v>
      </c>
      <c r="M364" s="893"/>
      <c r="N364" s="136"/>
    </row>
    <row r="365" spans="1:14">
      <c r="A365" s="853"/>
      <c r="B365" s="860" t="s">
        <v>158</v>
      </c>
      <c r="C365" s="892">
        <v>110</v>
      </c>
      <c r="D365" s="888">
        <v>796.15</v>
      </c>
      <c r="E365" s="860">
        <v>0.7</v>
      </c>
      <c r="F365" s="860">
        <v>1.1499999999999999</v>
      </c>
      <c r="G365" s="860">
        <v>1.03</v>
      </c>
      <c r="H365" s="860">
        <v>12.5</v>
      </c>
      <c r="I365" s="866">
        <f t="shared" si="36"/>
        <v>673.00277249999988</v>
      </c>
      <c r="J365" s="867"/>
      <c r="K365" s="868">
        <v>40</v>
      </c>
      <c r="L365" s="893" t="s">
        <v>888</v>
      </c>
      <c r="M365" s="893"/>
      <c r="N365" s="136"/>
    </row>
    <row r="366" spans="1:14">
      <c r="A366" s="853"/>
      <c r="B366" s="853"/>
      <c r="C366" s="894"/>
      <c r="D366" s="856"/>
      <c r="E366" s="853"/>
      <c r="F366" s="853"/>
      <c r="G366" s="853"/>
      <c r="H366" s="853"/>
      <c r="I366" s="850"/>
      <c r="J366" s="850"/>
      <c r="K366" s="851"/>
      <c r="L366" s="893"/>
      <c r="M366" s="893"/>
      <c r="N366" s="136"/>
    </row>
    <row r="367" spans="1:14">
      <c r="A367" s="853"/>
      <c r="B367" s="847" t="s">
        <v>805</v>
      </c>
      <c r="C367" s="848" t="s">
        <v>889</v>
      </c>
      <c r="D367" s="887" t="s">
        <v>876</v>
      </c>
      <c r="E367" s="853"/>
      <c r="F367" s="853"/>
      <c r="G367" s="853"/>
      <c r="H367" s="853"/>
      <c r="I367" s="856"/>
      <c r="J367" s="856"/>
      <c r="K367" s="854"/>
      <c r="L367" s="857"/>
      <c r="M367" s="853"/>
    </row>
    <row r="368" spans="1:14">
      <c r="A368" s="853"/>
      <c r="B368" s="860" t="s">
        <v>769</v>
      </c>
      <c r="C368" s="861" t="s">
        <v>770</v>
      </c>
      <c r="D368" s="888" t="s">
        <v>771</v>
      </c>
      <c r="E368" s="860" t="s">
        <v>613</v>
      </c>
      <c r="F368" s="860" t="s">
        <v>772</v>
      </c>
      <c r="G368" s="860" t="s">
        <v>773</v>
      </c>
      <c r="H368" s="860" t="s">
        <v>774</v>
      </c>
      <c r="I368" s="863" t="s">
        <v>771</v>
      </c>
      <c r="J368" s="889"/>
      <c r="K368" s="890" t="s">
        <v>775</v>
      </c>
      <c r="L368" s="857"/>
      <c r="M368" s="853"/>
    </row>
    <row r="369" spans="1:13">
      <c r="A369" s="853"/>
      <c r="B369" s="860" t="s">
        <v>47</v>
      </c>
      <c r="C369" s="891">
        <v>20</v>
      </c>
      <c r="D369" s="888">
        <v>23.01</v>
      </c>
      <c r="E369" s="860">
        <v>0.5</v>
      </c>
      <c r="F369" s="860">
        <v>1.1000000000000001</v>
      </c>
      <c r="G369" s="860">
        <v>1.03</v>
      </c>
      <c r="H369" s="860">
        <v>1.01</v>
      </c>
      <c r="I369" s="866">
        <f>(((D369*E369)*F369)+H369)*G369</f>
        <v>14.075465000000001</v>
      </c>
      <c r="J369" s="867"/>
      <c r="K369" s="868">
        <v>23</v>
      </c>
      <c r="L369" s="857"/>
      <c r="M369" s="853"/>
    </row>
    <row r="370" spans="1:13">
      <c r="A370" s="853"/>
      <c r="B370" s="860" t="s">
        <v>49</v>
      </c>
      <c r="C370" s="891">
        <v>20</v>
      </c>
      <c r="D370" s="888">
        <v>27.03</v>
      </c>
      <c r="E370" s="860">
        <v>0.5</v>
      </c>
      <c r="F370" s="860">
        <v>1.1000000000000001</v>
      </c>
      <c r="G370" s="860">
        <v>1.03</v>
      </c>
      <c r="H370" s="860">
        <v>1.01</v>
      </c>
      <c r="I370" s="866">
        <f t="shared" ref="I370:I380" si="37">(((D370*E370)*F370)+H370)*G370</f>
        <v>16.352795000000004</v>
      </c>
      <c r="J370" s="867"/>
      <c r="K370" s="868">
        <v>23</v>
      </c>
      <c r="L370" s="857"/>
      <c r="M370" s="853"/>
    </row>
    <row r="371" spans="1:13">
      <c r="A371" s="853"/>
      <c r="B371" s="860" t="s">
        <v>51</v>
      </c>
      <c r="C371" s="891">
        <v>30</v>
      </c>
      <c r="D371" s="888">
        <v>39.18</v>
      </c>
      <c r="E371" s="860">
        <v>0.5</v>
      </c>
      <c r="F371" s="860">
        <v>1.1000000000000001</v>
      </c>
      <c r="G371" s="860">
        <v>1.03</v>
      </c>
      <c r="H371" s="860">
        <v>1.4</v>
      </c>
      <c r="I371" s="866">
        <f t="shared" si="37"/>
        <v>23.637470000000004</v>
      </c>
      <c r="J371" s="867"/>
      <c r="K371" s="868">
        <v>25</v>
      </c>
      <c r="L371" s="857"/>
      <c r="M371" s="853"/>
    </row>
    <row r="372" spans="1:13">
      <c r="A372" s="853"/>
      <c r="B372" s="860" t="s">
        <v>53</v>
      </c>
      <c r="C372" s="891">
        <v>30</v>
      </c>
      <c r="D372" s="888">
        <v>44.04</v>
      </c>
      <c r="E372" s="860">
        <v>0.5</v>
      </c>
      <c r="F372" s="860">
        <v>1.1000000000000001</v>
      </c>
      <c r="G372" s="860">
        <v>1.03</v>
      </c>
      <c r="H372" s="860">
        <v>1.4</v>
      </c>
      <c r="I372" s="866">
        <f t="shared" si="37"/>
        <v>26.39066</v>
      </c>
      <c r="J372" s="867"/>
      <c r="K372" s="868">
        <v>25</v>
      </c>
      <c r="L372" s="857"/>
      <c r="M372" s="853"/>
    </row>
    <row r="373" spans="1:13">
      <c r="A373" s="853"/>
      <c r="B373" s="860" t="s">
        <v>55</v>
      </c>
      <c r="C373" s="891">
        <v>40</v>
      </c>
      <c r="D373" s="888">
        <v>71.16</v>
      </c>
      <c r="E373" s="860">
        <v>0.5</v>
      </c>
      <c r="F373" s="860">
        <v>1.1000000000000001</v>
      </c>
      <c r="G373" s="860">
        <v>1.03</v>
      </c>
      <c r="H373" s="860">
        <v>1.69</v>
      </c>
      <c r="I373" s="866">
        <f t="shared" si="37"/>
        <v>42.052839999999996</v>
      </c>
      <c r="J373" s="867"/>
      <c r="K373" s="868">
        <v>25</v>
      </c>
      <c r="L373" s="857"/>
      <c r="M373" s="853"/>
    </row>
    <row r="374" spans="1:13">
      <c r="A374" s="853"/>
      <c r="B374" s="860" t="s">
        <v>57</v>
      </c>
      <c r="C374" s="892">
        <v>60</v>
      </c>
      <c r="D374" s="888">
        <v>126.06</v>
      </c>
      <c r="E374" s="860">
        <v>0.5</v>
      </c>
      <c r="F374" s="860">
        <v>1.1499999999999999</v>
      </c>
      <c r="G374" s="860">
        <v>1.03</v>
      </c>
      <c r="H374" s="860">
        <v>2.0499999999999998</v>
      </c>
      <c r="I374" s="866">
        <f t="shared" si="37"/>
        <v>76.770534999999995</v>
      </c>
      <c r="J374" s="867"/>
      <c r="K374" s="868">
        <v>25</v>
      </c>
      <c r="L374" s="857"/>
      <c r="M374" s="853"/>
    </row>
    <row r="375" spans="1:13">
      <c r="A375" s="853"/>
      <c r="B375" s="860" t="s">
        <v>59</v>
      </c>
      <c r="C375" s="891">
        <v>70</v>
      </c>
      <c r="D375" s="888">
        <v>156.94999999999999</v>
      </c>
      <c r="E375" s="860">
        <v>0.5</v>
      </c>
      <c r="F375" s="860">
        <v>1.1499999999999999</v>
      </c>
      <c r="G375" s="860">
        <v>1.03</v>
      </c>
      <c r="H375" s="860">
        <v>2.59</v>
      </c>
      <c r="I375" s="866">
        <f t="shared" si="37"/>
        <v>95.621337499999996</v>
      </c>
      <c r="J375" s="867"/>
      <c r="K375" s="868">
        <v>25</v>
      </c>
      <c r="L375" s="857"/>
      <c r="M375" s="853"/>
    </row>
    <row r="376" spans="1:13">
      <c r="A376" s="853"/>
      <c r="B376" s="860" t="s">
        <v>60</v>
      </c>
      <c r="C376" s="891">
        <v>80</v>
      </c>
      <c r="D376" s="888">
        <v>227.45</v>
      </c>
      <c r="E376" s="860">
        <v>0.5</v>
      </c>
      <c r="F376" s="860">
        <v>1.1499999999999999</v>
      </c>
      <c r="G376" s="860">
        <v>1.03</v>
      </c>
      <c r="H376" s="860">
        <v>3.14</v>
      </c>
      <c r="I376" s="866">
        <f t="shared" si="37"/>
        <v>137.94146249999997</v>
      </c>
      <c r="J376" s="867"/>
      <c r="K376" s="868">
        <v>30</v>
      </c>
      <c r="L376" s="857"/>
      <c r="M376" s="853"/>
    </row>
    <row r="377" spans="1:13">
      <c r="A377" s="853"/>
      <c r="B377" s="860" t="s">
        <v>62</v>
      </c>
      <c r="C377" s="891">
        <v>100</v>
      </c>
      <c r="D377" s="888">
        <v>316.86</v>
      </c>
      <c r="E377" s="860">
        <v>0.5</v>
      </c>
      <c r="F377" s="860">
        <v>1.1499999999999999</v>
      </c>
      <c r="G377" s="860">
        <v>1.03</v>
      </c>
      <c r="H377" s="860">
        <v>3.86</v>
      </c>
      <c r="I377" s="866">
        <f t="shared" si="37"/>
        <v>191.63613500000002</v>
      </c>
      <c r="J377" s="867"/>
      <c r="K377" s="868">
        <v>30</v>
      </c>
      <c r="L377" s="857"/>
      <c r="M377" s="853"/>
    </row>
    <row r="378" spans="1:13">
      <c r="A378" s="853"/>
      <c r="B378" s="860" t="s">
        <v>63</v>
      </c>
      <c r="C378" s="891">
        <v>100</v>
      </c>
      <c r="D378" s="888">
        <v>356.14</v>
      </c>
      <c r="E378" s="860">
        <v>0.5</v>
      </c>
      <c r="F378" s="860">
        <v>1.1499999999999999</v>
      </c>
      <c r="G378" s="860">
        <v>1.03</v>
      </c>
      <c r="H378" s="860">
        <v>4.7699999999999996</v>
      </c>
      <c r="I378" s="866">
        <f t="shared" si="37"/>
        <v>215.83701500000001</v>
      </c>
      <c r="J378" s="867"/>
      <c r="K378" s="868">
        <v>35</v>
      </c>
      <c r="L378" s="857"/>
      <c r="M378" s="853"/>
    </row>
    <row r="379" spans="1:13">
      <c r="A379" s="853"/>
      <c r="B379" s="860" t="s">
        <v>66</v>
      </c>
      <c r="C379" s="891">
        <v>100</v>
      </c>
      <c r="D379" s="888">
        <v>421.97</v>
      </c>
      <c r="E379" s="860">
        <v>0.5</v>
      </c>
      <c r="F379" s="860">
        <v>1.1499999999999999</v>
      </c>
      <c r="G379" s="860">
        <v>1.03</v>
      </c>
      <c r="H379" s="860">
        <v>5.67</v>
      </c>
      <c r="I379" s="866">
        <f t="shared" si="37"/>
        <v>255.75183249999998</v>
      </c>
      <c r="J379" s="867"/>
      <c r="K379" s="868">
        <v>35</v>
      </c>
      <c r="L379" s="857"/>
      <c r="M379" s="853"/>
    </row>
    <row r="380" spans="1:13">
      <c r="A380" s="853"/>
      <c r="B380" s="860" t="s">
        <v>121</v>
      </c>
      <c r="C380" s="891">
        <v>100</v>
      </c>
      <c r="D380" s="888">
        <v>511.77</v>
      </c>
      <c r="E380" s="860">
        <v>0.5</v>
      </c>
      <c r="F380" s="860">
        <v>1.1499999999999999</v>
      </c>
      <c r="G380" s="860">
        <v>1.03</v>
      </c>
      <c r="H380" s="860">
        <v>7.48</v>
      </c>
      <c r="I380" s="866">
        <f t="shared" si="37"/>
        <v>310.80018250000001</v>
      </c>
      <c r="J380" s="867"/>
      <c r="K380" s="868">
        <v>35</v>
      </c>
      <c r="L380" s="857"/>
      <c r="M380" s="853"/>
    </row>
    <row r="381" spans="1:13">
      <c r="A381" s="853" t="s">
        <v>890</v>
      </c>
      <c r="B381" s="860" t="s">
        <v>122</v>
      </c>
      <c r="C381" s="891">
        <v>100</v>
      </c>
      <c r="D381" s="888">
        <v>404.28</v>
      </c>
      <c r="E381" s="860">
        <v>0.7</v>
      </c>
      <c r="F381" s="860">
        <v>1.1499999999999999</v>
      </c>
      <c r="G381" s="860">
        <v>1.03</v>
      </c>
      <c r="H381" s="860">
        <v>9.2899999999999991</v>
      </c>
      <c r="I381" s="866">
        <f>(((D381*E381)*F381)+H381)*G381+(273+2*100)/1000*3.14*18.99*0.5</f>
        <v>358.87962589999995</v>
      </c>
      <c r="J381" s="867"/>
      <c r="K381" s="868">
        <v>55</v>
      </c>
      <c r="L381" s="857"/>
      <c r="M381" s="853"/>
    </row>
    <row r="382" spans="1:13">
      <c r="A382" s="853" t="s">
        <v>890</v>
      </c>
      <c r="B382" s="860" t="s">
        <v>156</v>
      </c>
      <c r="C382" s="891">
        <v>100</v>
      </c>
      <c r="D382" s="888">
        <v>606.20000000000005</v>
      </c>
      <c r="E382" s="860">
        <v>0.7</v>
      </c>
      <c r="F382" s="860">
        <v>1.1499999999999999</v>
      </c>
      <c r="G382" s="860">
        <v>1.03</v>
      </c>
      <c r="H382" s="860">
        <v>10.5</v>
      </c>
      <c r="I382" s="866">
        <f>(((D382*E382)*F382)+H382)*G382+((322+2*100)/1000*3.14*18.99*0.5)</f>
        <v>529.00879459999999</v>
      </c>
      <c r="J382" s="867"/>
      <c r="K382" s="868">
        <v>60</v>
      </c>
      <c r="L382" s="857"/>
      <c r="M382" s="853"/>
    </row>
    <row r="383" spans="1:13">
      <c r="A383" s="853" t="s">
        <v>890</v>
      </c>
      <c r="B383" s="860" t="s">
        <v>158</v>
      </c>
      <c r="C383" s="891">
        <v>100</v>
      </c>
      <c r="D383" s="888">
        <v>723.75</v>
      </c>
      <c r="E383" s="860">
        <v>0.7</v>
      </c>
      <c r="F383" s="860">
        <v>1.1499999999999999</v>
      </c>
      <c r="G383" s="860">
        <v>1.03</v>
      </c>
      <c r="H383" s="860">
        <v>12.5</v>
      </c>
      <c r="I383" s="866">
        <f>(((D383*E383)*F383)+H383)*G383+((370+2*100)/1000*3.14*18.99*0.5)</f>
        <v>629.96646349999992</v>
      </c>
      <c r="J383" s="867"/>
      <c r="K383" s="868">
        <v>60</v>
      </c>
      <c r="L383" s="857"/>
      <c r="M383" s="853"/>
    </row>
    <row r="384" spans="1:13">
      <c r="A384" s="853"/>
      <c r="B384" s="853"/>
      <c r="C384" s="854"/>
      <c r="D384" s="855"/>
      <c r="E384" s="853"/>
      <c r="F384" s="853"/>
      <c r="G384" s="853"/>
      <c r="H384" s="853"/>
      <c r="I384" s="856"/>
      <c r="J384" s="856"/>
      <c r="K384" s="851"/>
      <c r="L384" s="857"/>
      <c r="M384" s="853"/>
    </row>
    <row r="385" spans="1:14">
      <c r="A385" s="853"/>
      <c r="B385" s="847" t="s">
        <v>805</v>
      </c>
      <c r="C385" s="848" t="s">
        <v>889</v>
      </c>
      <c r="D385" s="887" t="s">
        <v>876</v>
      </c>
      <c r="E385" s="853"/>
      <c r="F385" s="853"/>
      <c r="G385" s="853"/>
      <c r="H385" s="853"/>
      <c r="I385" s="856"/>
      <c r="J385" s="856"/>
      <c r="K385" s="854"/>
      <c r="L385" s="857"/>
      <c r="M385" s="853"/>
    </row>
    <row r="386" spans="1:14">
      <c r="A386" s="853"/>
      <c r="B386" s="860" t="s">
        <v>769</v>
      </c>
      <c r="C386" s="861" t="s">
        <v>770</v>
      </c>
      <c r="D386" s="888" t="s">
        <v>771</v>
      </c>
      <c r="E386" s="860" t="s">
        <v>613</v>
      </c>
      <c r="F386" s="860" t="s">
        <v>772</v>
      </c>
      <c r="G386" s="860" t="s">
        <v>773</v>
      </c>
      <c r="H386" s="860" t="s">
        <v>774</v>
      </c>
      <c r="I386" s="863" t="s">
        <v>771</v>
      </c>
      <c r="J386" s="889"/>
      <c r="K386" s="890" t="s">
        <v>775</v>
      </c>
      <c r="L386" s="857"/>
      <c r="M386" s="853"/>
    </row>
    <row r="387" spans="1:14">
      <c r="A387" s="853"/>
      <c r="B387" s="860" t="s">
        <v>47</v>
      </c>
      <c r="C387" s="892">
        <v>30</v>
      </c>
      <c r="D387" s="888">
        <v>33.159999999999997</v>
      </c>
      <c r="E387" s="860">
        <v>0.5</v>
      </c>
      <c r="F387" s="860">
        <v>1.1000000000000001</v>
      </c>
      <c r="G387" s="860">
        <v>1.03</v>
      </c>
      <c r="H387" s="860">
        <v>1.01</v>
      </c>
      <c r="I387" s="866">
        <f>(((D387*E387)*F387)+H387)*G387</f>
        <v>19.82544</v>
      </c>
      <c r="J387" s="867"/>
      <c r="K387" s="868">
        <v>23</v>
      </c>
      <c r="L387" s="857"/>
      <c r="M387" s="853"/>
    </row>
    <row r="388" spans="1:14">
      <c r="A388" s="853"/>
      <c r="B388" s="860" t="s">
        <v>49</v>
      </c>
      <c r="C388" s="892">
        <v>30</v>
      </c>
      <c r="D388" s="888">
        <v>36.68</v>
      </c>
      <c r="E388" s="860">
        <v>0.5</v>
      </c>
      <c r="F388" s="860">
        <v>1.1000000000000001</v>
      </c>
      <c r="G388" s="860">
        <v>1.03</v>
      </c>
      <c r="H388" s="860">
        <v>1.01</v>
      </c>
      <c r="I388" s="866">
        <f t="shared" ref="I388:I398" si="38">(((D388*E388)*F388)+H388)*G388</f>
        <v>21.819520000000004</v>
      </c>
      <c r="J388" s="867"/>
      <c r="K388" s="868">
        <v>23</v>
      </c>
      <c r="L388" s="857"/>
      <c r="M388" s="853"/>
    </row>
    <row r="389" spans="1:14">
      <c r="A389" s="853"/>
      <c r="B389" s="860" t="s">
        <v>51</v>
      </c>
      <c r="C389" s="891">
        <v>30</v>
      </c>
      <c r="D389" s="888">
        <v>39.18</v>
      </c>
      <c r="E389" s="860">
        <v>0.5</v>
      </c>
      <c r="F389" s="860">
        <v>1.1000000000000001</v>
      </c>
      <c r="G389" s="860">
        <v>1.03</v>
      </c>
      <c r="H389" s="860">
        <v>1.4</v>
      </c>
      <c r="I389" s="866">
        <f t="shared" si="38"/>
        <v>23.637470000000004</v>
      </c>
      <c r="J389" s="867"/>
      <c r="K389" s="868">
        <v>25</v>
      </c>
      <c r="L389" s="857"/>
      <c r="M389" s="853"/>
    </row>
    <row r="390" spans="1:14">
      <c r="A390" s="853"/>
      <c r="B390" s="860" t="s">
        <v>53</v>
      </c>
      <c r="C390" s="892">
        <v>50</v>
      </c>
      <c r="D390" s="888">
        <v>80.88</v>
      </c>
      <c r="E390" s="860">
        <v>0.5</v>
      </c>
      <c r="F390" s="860">
        <v>1.1000000000000001</v>
      </c>
      <c r="G390" s="860">
        <v>1.03</v>
      </c>
      <c r="H390" s="860">
        <v>1.4</v>
      </c>
      <c r="I390" s="866">
        <f t="shared" si="38"/>
        <v>47.26052</v>
      </c>
      <c r="J390" s="867"/>
      <c r="K390" s="868">
        <v>25</v>
      </c>
      <c r="L390" s="857"/>
      <c r="M390" s="853"/>
    </row>
    <row r="391" spans="1:14">
      <c r="A391" s="853"/>
      <c r="B391" s="860" t="s">
        <v>55</v>
      </c>
      <c r="C391" s="892">
        <v>50</v>
      </c>
      <c r="D391" s="888">
        <v>92.65</v>
      </c>
      <c r="E391" s="860">
        <v>0.5</v>
      </c>
      <c r="F391" s="860">
        <v>1.1000000000000001</v>
      </c>
      <c r="G391" s="860">
        <v>1.03</v>
      </c>
      <c r="H391" s="860">
        <v>1.69</v>
      </c>
      <c r="I391" s="866">
        <f t="shared" si="38"/>
        <v>54.226925000000008</v>
      </c>
      <c r="J391" s="867"/>
      <c r="K391" s="868">
        <v>25</v>
      </c>
      <c r="L391" s="857"/>
      <c r="M391" s="853"/>
    </row>
    <row r="392" spans="1:14">
      <c r="A392" s="853"/>
      <c r="B392" s="860" t="s">
        <v>57</v>
      </c>
      <c r="C392" s="892">
        <v>60</v>
      </c>
      <c r="D392" s="888">
        <v>126.06</v>
      </c>
      <c r="E392" s="860">
        <v>0.5</v>
      </c>
      <c r="F392" s="860">
        <v>1.1499999999999999</v>
      </c>
      <c r="G392" s="860">
        <v>1.03</v>
      </c>
      <c r="H392" s="860">
        <v>2.0499999999999998</v>
      </c>
      <c r="I392" s="866">
        <f t="shared" si="38"/>
        <v>76.770534999999995</v>
      </c>
      <c r="J392" s="867"/>
      <c r="K392" s="868">
        <v>25</v>
      </c>
      <c r="L392" s="857"/>
      <c r="M392" s="853"/>
    </row>
    <row r="393" spans="1:14">
      <c r="A393" s="853"/>
      <c r="B393" s="860" t="s">
        <v>59</v>
      </c>
      <c r="C393" s="892">
        <v>80</v>
      </c>
      <c r="D393" s="888">
        <v>197.87</v>
      </c>
      <c r="E393" s="860">
        <v>0.5</v>
      </c>
      <c r="F393" s="860">
        <v>1.1499999999999999</v>
      </c>
      <c r="G393" s="860">
        <v>1.03</v>
      </c>
      <c r="H393" s="860">
        <v>2.59</v>
      </c>
      <c r="I393" s="866">
        <f t="shared" si="38"/>
        <v>119.85620750000001</v>
      </c>
      <c r="J393" s="867"/>
      <c r="K393" s="868">
        <v>25</v>
      </c>
      <c r="L393" s="857"/>
      <c r="M393" s="853"/>
    </row>
    <row r="394" spans="1:14">
      <c r="A394" s="853"/>
      <c r="B394" s="860" t="s">
        <v>60</v>
      </c>
      <c r="C394" s="892">
        <v>100</v>
      </c>
      <c r="D394" s="888">
        <v>269.7</v>
      </c>
      <c r="E394" s="860">
        <v>0.5</v>
      </c>
      <c r="F394" s="860">
        <v>1.1499999999999999</v>
      </c>
      <c r="G394" s="860">
        <v>1.03</v>
      </c>
      <c r="H394" s="860">
        <v>3.14</v>
      </c>
      <c r="I394" s="866">
        <f t="shared" si="38"/>
        <v>162.96402499999996</v>
      </c>
      <c r="J394" s="867"/>
      <c r="K394" s="868">
        <v>30</v>
      </c>
      <c r="L394" s="857"/>
      <c r="M394" s="853"/>
    </row>
    <row r="395" spans="1:14">
      <c r="A395" s="853"/>
      <c r="B395" s="860" t="s">
        <v>62</v>
      </c>
      <c r="C395" s="891">
        <v>100</v>
      </c>
      <c r="D395" s="888">
        <v>193.93</v>
      </c>
      <c r="E395" s="860">
        <v>0.5</v>
      </c>
      <c r="F395" s="860">
        <v>1.1499999999999999</v>
      </c>
      <c r="G395" s="860">
        <v>1.03</v>
      </c>
      <c r="H395" s="860">
        <v>3.86</v>
      </c>
      <c r="I395" s="866">
        <f t="shared" si="38"/>
        <v>118.8308425</v>
      </c>
      <c r="J395" s="867"/>
      <c r="K395" s="868">
        <v>30</v>
      </c>
      <c r="L395" s="857"/>
      <c r="M395" s="853"/>
    </row>
    <row r="396" spans="1:14">
      <c r="A396" s="853"/>
      <c r="B396" s="860" t="s">
        <v>63</v>
      </c>
      <c r="C396" s="891">
        <v>100</v>
      </c>
      <c r="D396" s="888">
        <v>233.12</v>
      </c>
      <c r="E396" s="860">
        <v>0.5</v>
      </c>
      <c r="F396" s="860">
        <v>1.1499999999999999</v>
      </c>
      <c r="G396" s="860">
        <v>1.03</v>
      </c>
      <c r="H396" s="860">
        <v>4.7699999999999996</v>
      </c>
      <c r="I396" s="866">
        <f t="shared" si="38"/>
        <v>142.97842</v>
      </c>
      <c r="J396" s="867"/>
      <c r="K396" s="868">
        <v>35</v>
      </c>
      <c r="L396" s="857"/>
      <c r="M396" s="853"/>
    </row>
    <row r="397" spans="1:14">
      <c r="A397" s="853"/>
      <c r="B397" s="860" t="s">
        <v>66</v>
      </c>
      <c r="C397" s="891">
        <v>100</v>
      </c>
      <c r="D397" s="888">
        <v>274.8</v>
      </c>
      <c r="E397" s="860">
        <v>0.5</v>
      </c>
      <c r="F397" s="860">
        <v>1.1499999999999999</v>
      </c>
      <c r="G397" s="860">
        <v>1.03</v>
      </c>
      <c r="H397" s="860">
        <v>5.67</v>
      </c>
      <c r="I397" s="866">
        <f t="shared" si="38"/>
        <v>168.59039999999999</v>
      </c>
      <c r="J397" s="867"/>
      <c r="K397" s="868">
        <v>35</v>
      </c>
      <c r="L397" s="857"/>
      <c r="M397" s="853"/>
    </row>
    <row r="398" spans="1:14">
      <c r="A398" s="853"/>
      <c r="B398" s="860" t="s">
        <v>121</v>
      </c>
      <c r="C398" s="891">
        <v>100</v>
      </c>
      <c r="D398" s="888">
        <v>322.20999999999998</v>
      </c>
      <c r="E398" s="860">
        <v>0.5</v>
      </c>
      <c r="F398" s="860">
        <v>1.1499999999999999</v>
      </c>
      <c r="G398" s="860">
        <v>1.03</v>
      </c>
      <c r="H398" s="860">
        <v>7.48</v>
      </c>
      <c r="I398" s="866">
        <f t="shared" si="38"/>
        <v>198.53327249999995</v>
      </c>
      <c r="J398" s="867"/>
      <c r="K398" s="868">
        <v>35</v>
      </c>
      <c r="L398" s="857"/>
      <c r="M398" s="853"/>
    </row>
    <row r="399" spans="1:14">
      <c r="A399" s="853"/>
      <c r="B399" s="853"/>
      <c r="C399" s="894"/>
      <c r="D399" s="856"/>
      <c r="E399" s="853"/>
      <c r="F399" s="853"/>
      <c r="G399" s="853"/>
      <c r="H399" s="853"/>
      <c r="I399" s="850"/>
      <c r="J399" s="850"/>
      <c r="K399" s="851"/>
      <c r="L399" s="893"/>
      <c r="M399" s="893"/>
      <c r="N399" s="136"/>
    </row>
    <row r="400" spans="1:14">
      <c r="A400" s="853"/>
      <c r="B400" s="847" t="s">
        <v>805</v>
      </c>
      <c r="C400" s="848" t="s">
        <v>806</v>
      </c>
      <c r="D400" s="887" t="s">
        <v>862</v>
      </c>
      <c r="E400" s="853"/>
      <c r="F400" s="853"/>
      <c r="G400" s="853"/>
      <c r="H400" s="853"/>
      <c r="I400" s="856"/>
      <c r="J400" s="856"/>
      <c r="K400" s="854"/>
      <c r="L400" s="857"/>
      <c r="M400" s="857"/>
      <c r="N400" s="136"/>
    </row>
    <row r="401" spans="1:14">
      <c r="A401" s="853"/>
      <c r="B401" s="860" t="s">
        <v>769</v>
      </c>
      <c r="C401" s="861" t="s">
        <v>770</v>
      </c>
      <c r="D401" s="888" t="s">
        <v>771</v>
      </c>
      <c r="E401" s="860" t="s">
        <v>613</v>
      </c>
      <c r="F401" s="860" t="s">
        <v>772</v>
      </c>
      <c r="G401" s="860" t="s">
        <v>773</v>
      </c>
      <c r="H401" s="860" t="s">
        <v>774</v>
      </c>
      <c r="I401" s="863" t="s">
        <v>771</v>
      </c>
      <c r="J401" s="889"/>
      <c r="K401" s="890" t="s">
        <v>775</v>
      </c>
      <c r="L401" s="857"/>
      <c r="M401" s="857"/>
      <c r="N401" s="136"/>
    </row>
    <row r="402" spans="1:14">
      <c r="A402" s="853"/>
      <c r="B402" s="860" t="s">
        <v>47</v>
      </c>
      <c r="C402" s="891">
        <v>20</v>
      </c>
      <c r="D402" s="888">
        <v>13.72</v>
      </c>
      <c r="E402" s="860">
        <v>0.7</v>
      </c>
      <c r="F402" s="860">
        <v>1.1000000000000001</v>
      </c>
      <c r="G402" s="860">
        <v>1.03</v>
      </c>
      <c r="H402" s="860">
        <v>1.01</v>
      </c>
      <c r="I402" s="866">
        <f>(((D402*E402)*F402)+H402)*G402</f>
        <v>11.921631999999999</v>
      </c>
      <c r="J402" s="867"/>
      <c r="K402" s="868">
        <v>23</v>
      </c>
      <c r="L402" s="857"/>
      <c r="M402" s="857"/>
      <c r="N402" s="136"/>
    </row>
    <row r="403" spans="1:14">
      <c r="A403" s="853"/>
      <c r="B403" s="860" t="s">
        <v>49</v>
      </c>
      <c r="C403" s="891">
        <v>20</v>
      </c>
      <c r="D403" s="888">
        <v>14.48</v>
      </c>
      <c r="E403" s="860">
        <v>0.7</v>
      </c>
      <c r="F403" s="860">
        <v>1.1000000000000001</v>
      </c>
      <c r="G403" s="860">
        <v>1.03</v>
      </c>
      <c r="H403" s="860">
        <v>1.01</v>
      </c>
      <c r="I403" s="866">
        <f t="shared" ref="I403:I416" si="39">(((D403*E403)*F403)+H403)*G403</f>
        <v>12.524388</v>
      </c>
      <c r="J403" s="867"/>
      <c r="K403" s="868">
        <v>23</v>
      </c>
      <c r="L403" s="857"/>
      <c r="M403" s="857"/>
      <c r="N403" s="136"/>
    </row>
    <row r="404" spans="1:14">
      <c r="A404" s="853"/>
      <c r="B404" s="860" t="s">
        <v>51</v>
      </c>
      <c r="C404" s="891">
        <v>30</v>
      </c>
      <c r="D404" s="888">
        <v>22.55</v>
      </c>
      <c r="E404" s="860">
        <v>0.7</v>
      </c>
      <c r="F404" s="860">
        <v>1.1000000000000001</v>
      </c>
      <c r="G404" s="860">
        <v>1.03</v>
      </c>
      <c r="H404" s="860">
        <v>1.4</v>
      </c>
      <c r="I404" s="866">
        <f t="shared" si="39"/>
        <v>19.326405000000001</v>
      </c>
      <c r="J404" s="867"/>
      <c r="K404" s="868">
        <v>25</v>
      </c>
      <c r="L404" s="857"/>
      <c r="M404" s="857"/>
      <c r="N404" s="136"/>
    </row>
    <row r="405" spans="1:14">
      <c r="A405" s="853"/>
      <c r="B405" s="860" t="s">
        <v>53</v>
      </c>
      <c r="C405" s="891">
        <v>40</v>
      </c>
      <c r="D405" s="888">
        <v>32.56</v>
      </c>
      <c r="E405" s="860">
        <v>0.7</v>
      </c>
      <c r="F405" s="860">
        <v>1.1000000000000001</v>
      </c>
      <c r="G405" s="860">
        <v>1.03</v>
      </c>
      <c r="H405" s="860">
        <v>1.4</v>
      </c>
      <c r="I405" s="866">
        <f t="shared" si="39"/>
        <v>27.265336000000005</v>
      </c>
      <c r="J405" s="867"/>
      <c r="K405" s="868">
        <v>25</v>
      </c>
      <c r="L405" s="857"/>
      <c r="M405" s="857"/>
      <c r="N405" s="136"/>
    </row>
    <row r="406" spans="1:14">
      <c r="A406" s="853"/>
      <c r="B406" s="860" t="s">
        <v>55</v>
      </c>
      <c r="C406" s="891">
        <v>40</v>
      </c>
      <c r="D406" s="888">
        <v>33.369999999999997</v>
      </c>
      <c r="E406" s="860">
        <v>0.7</v>
      </c>
      <c r="F406" s="860">
        <v>1.1000000000000001</v>
      </c>
      <c r="G406" s="860">
        <v>1.03</v>
      </c>
      <c r="H406" s="860">
        <v>1.69</v>
      </c>
      <c r="I406" s="866">
        <f t="shared" si="39"/>
        <v>28.206447000000004</v>
      </c>
      <c r="J406" s="867"/>
      <c r="K406" s="868">
        <v>25</v>
      </c>
      <c r="L406" s="857"/>
      <c r="M406" s="857"/>
      <c r="N406" s="136"/>
    </row>
    <row r="407" spans="1:14">
      <c r="A407" s="853"/>
      <c r="B407" s="860" t="s">
        <v>57</v>
      </c>
      <c r="C407" s="891">
        <v>50</v>
      </c>
      <c r="D407" s="888">
        <v>50.61</v>
      </c>
      <c r="E407" s="860">
        <v>0.7</v>
      </c>
      <c r="F407" s="860">
        <v>1.1499999999999999</v>
      </c>
      <c r="G407" s="860">
        <v>1.03</v>
      </c>
      <c r="H407" s="860">
        <v>2.0499999999999998</v>
      </c>
      <c r="I407" s="866">
        <f t="shared" si="39"/>
        <v>44.074781499999993</v>
      </c>
      <c r="J407" s="867"/>
      <c r="K407" s="868">
        <v>25</v>
      </c>
      <c r="L407" s="857"/>
      <c r="M407" s="857"/>
      <c r="N407" s="136"/>
    </row>
    <row r="408" spans="1:14">
      <c r="A408" s="853"/>
      <c r="B408" s="860" t="s">
        <v>59</v>
      </c>
      <c r="C408" s="891">
        <v>70</v>
      </c>
      <c r="D408" s="888">
        <v>102.75</v>
      </c>
      <c r="E408" s="860">
        <v>0.7</v>
      </c>
      <c r="F408" s="860">
        <v>1.1499999999999999</v>
      </c>
      <c r="G408" s="860">
        <v>1.03</v>
      </c>
      <c r="H408" s="860">
        <v>2.59</v>
      </c>
      <c r="I408" s="866">
        <f t="shared" si="39"/>
        <v>87.862862499999991</v>
      </c>
      <c r="J408" s="867"/>
      <c r="K408" s="868">
        <v>25</v>
      </c>
      <c r="L408" s="857"/>
      <c r="M408" s="857"/>
      <c r="N408" s="136"/>
    </row>
    <row r="409" spans="1:14">
      <c r="A409" s="853"/>
      <c r="B409" s="860" t="s">
        <v>60</v>
      </c>
      <c r="C409" s="891">
        <v>80</v>
      </c>
      <c r="D409" s="888">
        <v>144.63999999999999</v>
      </c>
      <c r="E409" s="860">
        <v>0.7</v>
      </c>
      <c r="F409" s="860">
        <v>1.1499999999999999</v>
      </c>
      <c r="G409" s="860">
        <v>1.03</v>
      </c>
      <c r="H409" s="860">
        <v>3.14</v>
      </c>
      <c r="I409" s="866">
        <f t="shared" si="39"/>
        <v>123.16245599999998</v>
      </c>
      <c r="J409" s="867"/>
      <c r="K409" s="868">
        <v>30</v>
      </c>
      <c r="L409" s="857"/>
      <c r="M409" s="857"/>
      <c r="N409" s="136"/>
    </row>
    <row r="410" spans="1:14">
      <c r="A410" s="853"/>
      <c r="B410" s="860" t="s">
        <v>62</v>
      </c>
      <c r="C410" s="891">
        <v>100</v>
      </c>
      <c r="D410" s="888">
        <v>193.93</v>
      </c>
      <c r="E410" s="860">
        <v>0.7</v>
      </c>
      <c r="F410" s="860">
        <v>1.1499999999999999</v>
      </c>
      <c r="G410" s="860">
        <v>1.03</v>
      </c>
      <c r="H410" s="860">
        <v>3.86</v>
      </c>
      <c r="I410" s="866">
        <f t="shared" si="39"/>
        <v>164.77285950000004</v>
      </c>
      <c r="J410" s="867"/>
      <c r="K410" s="868">
        <v>30</v>
      </c>
      <c r="L410" s="857"/>
      <c r="M410" s="857"/>
      <c r="N410" s="136"/>
    </row>
    <row r="411" spans="1:14">
      <c r="A411" s="853"/>
      <c r="B411" s="860" t="s">
        <v>63</v>
      </c>
      <c r="C411" s="891">
        <v>100</v>
      </c>
      <c r="D411" s="888">
        <v>233.12</v>
      </c>
      <c r="E411" s="860">
        <v>0.7</v>
      </c>
      <c r="F411" s="860">
        <v>1.1499999999999999</v>
      </c>
      <c r="G411" s="860">
        <v>1.03</v>
      </c>
      <c r="H411" s="860">
        <v>4.7699999999999996</v>
      </c>
      <c r="I411" s="866">
        <f t="shared" si="39"/>
        <v>198.20454800000002</v>
      </c>
      <c r="J411" s="867"/>
      <c r="K411" s="868">
        <v>35</v>
      </c>
      <c r="L411" s="857"/>
      <c r="M411" s="857"/>
      <c r="N411" s="136"/>
    </row>
    <row r="412" spans="1:14">
      <c r="A412" s="853"/>
      <c r="B412" s="860" t="s">
        <v>66</v>
      </c>
      <c r="C412" s="891">
        <v>100</v>
      </c>
      <c r="D412" s="888">
        <v>274.8</v>
      </c>
      <c r="E412" s="860">
        <v>0.7</v>
      </c>
      <c r="F412" s="860">
        <v>1.1499999999999999</v>
      </c>
      <c r="G412" s="860">
        <v>1.03</v>
      </c>
      <c r="H412" s="860">
        <v>5.67</v>
      </c>
      <c r="I412" s="866">
        <f t="shared" si="39"/>
        <v>233.69051999999996</v>
      </c>
      <c r="J412" s="867"/>
      <c r="K412" s="868">
        <v>35</v>
      </c>
      <c r="L412" s="857"/>
      <c r="M412" s="857"/>
      <c r="N412" s="136"/>
    </row>
    <row r="413" spans="1:14">
      <c r="A413" s="853"/>
      <c r="B413" s="860" t="s">
        <v>121</v>
      </c>
      <c r="C413" s="891">
        <v>100</v>
      </c>
      <c r="D413" s="888">
        <v>322.20999999999998</v>
      </c>
      <c r="E413" s="860">
        <v>0.7</v>
      </c>
      <c r="F413" s="860">
        <v>1.1499999999999999</v>
      </c>
      <c r="G413" s="860">
        <v>1.03</v>
      </c>
      <c r="H413" s="860">
        <v>7.48</v>
      </c>
      <c r="I413" s="866">
        <f t="shared" si="39"/>
        <v>274.86482149999995</v>
      </c>
      <c r="J413" s="867"/>
      <c r="K413" s="868">
        <v>35</v>
      </c>
      <c r="L413" s="857"/>
      <c r="M413" s="857"/>
      <c r="N413" s="136"/>
    </row>
    <row r="414" spans="1:14">
      <c r="A414" s="853"/>
      <c r="B414" s="860" t="s">
        <v>122</v>
      </c>
      <c r="C414" s="891">
        <v>100</v>
      </c>
      <c r="D414" s="888">
        <v>342.61</v>
      </c>
      <c r="E414" s="860">
        <v>0.7</v>
      </c>
      <c r="F414" s="860">
        <v>1.1499999999999999</v>
      </c>
      <c r="G414" s="860">
        <v>1.03</v>
      </c>
      <c r="H414" s="860">
        <v>9.2899999999999991</v>
      </c>
      <c r="I414" s="866">
        <f t="shared" si="39"/>
        <v>293.64378149999999</v>
      </c>
      <c r="J414" s="867"/>
      <c r="K414" s="868">
        <v>35</v>
      </c>
      <c r="L414" s="857"/>
      <c r="M414" s="857"/>
      <c r="N414" s="136"/>
    </row>
    <row r="415" spans="1:14">
      <c r="A415" s="853"/>
      <c r="B415" s="860" t="s">
        <v>156</v>
      </c>
      <c r="C415" s="891">
        <v>100</v>
      </c>
      <c r="D415" s="888">
        <v>472.81</v>
      </c>
      <c r="E415" s="860">
        <v>0.7</v>
      </c>
      <c r="F415" s="860">
        <v>1.1499999999999999</v>
      </c>
      <c r="G415" s="860">
        <v>1.03</v>
      </c>
      <c r="H415" s="860">
        <v>10.5</v>
      </c>
      <c r="I415" s="866">
        <f t="shared" si="39"/>
        <v>402.84541149999995</v>
      </c>
      <c r="J415" s="867"/>
      <c r="K415" s="868">
        <v>40</v>
      </c>
      <c r="L415" s="857"/>
      <c r="M415" s="857"/>
      <c r="N415" s="136"/>
    </row>
    <row r="416" spans="1:14">
      <c r="A416" s="853"/>
      <c r="B416" s="860" t="s">
        <v>158</v>
      </c>
      <c r="C416" s="891">
        <v>100</v>
      </c>
      <c r="D416" s="888">
        <v>531.29</v>
      </c>
      <c r="E416" s="860">
        <v>0.7</v>
      </c>
      <c r="F416" s="860">
        <v>1.1499999999999999</v>
      </c>
      <c r="G416" s="860">
        <v>1.03</v>
      </c>
      <c r="H416" s="860">
        <v>12.5</v>
      </c>
      <c r="I416" s="866">
        <f t="shared" si="39"/>
        <v>453.39410349999991</v>
      </c>
      <c r="J416" s="867"/>
      <c r="K416" s="868">
        <v>40</v>
      </c>
      <c r="L416" s="857"/>
      <c r="M416" s="857"/>
      <c r="N416" s="136"/>
    </row>
    <row r="417" spans="1:14">
      <c r="A417" s="853"/>
      <c r="B417" s="847"/>
      <c r="C417" s="854"/>
      <c r="D417" s="855"/>
      <c r="E417" s="853"/>
      <c r="F417" s="853"/>
      <c r="G417" s="853"/>
      <c r="H417" s="853"/>
      <c r="I417" s="856"/>
      <c r="J417" s="856"/>
      <c r="K417" s="851"/>
      <c r="L417" s="857"/>
      <c r="M417" s="857"/>
      <c r="N417" s="136"/>
    </row>
    <row r="418" spans="1:14">
      <c r="A418" s="853"/>
      <c r="B418" s="847"/>
      <c r="C418" s="854"/>
      <c r="D418" s="855"/>
      <c r="E418" s="853"/>
      <c r="F418" s="853"/>
      <c r="G418" s="853"/>
      <c r="H418" s="853"/>
      <c r="I418" s="856"/>
      <c r="J418" s="856"/>
      <c r="K418" s="851"/>
      <c r="L418" s="857"/>
      <c r="M418" s="857"/>
      <c r="N418" s="136"/>
    </row>
    <row r="419" spans="1:14">
      <c r="A419" s="853"/>
      <c r="B419" s="847" t="s">
        <v>805</v>
      </c>
      <c r="C419" s="848" t="s">
        <v>806</v>
      </c>
      <c r="D419" s="887" t="s">
        <v>862</v>
      </c>
      <c r="E419" s="853"/>
      <c r="F419" s="853"/>
      <c r="G419" s="853"/>
      <c r="H419" s="853"/>
      <c r="I419" s="856"/>
      <c r="J419" s="856"/>
      <c r="K419" s="854"/>
      <c r="L419" s="857"/>
      <c r="M419" s="857"/>
      <c r="N419" s="136"/>
    </row>
    <row r="420" spans="1:14">
      <c r="A420" s="853"/>
      <c r="B420" s="860" t="s">
        <v>769</v>
      </c>
      <c r="C420" s="861" t="s">
        <v>770</v>
      </c>
      <c r="D420" s="888" t="s">
        <v>771</v>
      </c>
      <c r="E420" s="860" t="s">
        <v>613</v>
      </c>
      <c r="F420" s="860" t="s">
        <v>772</v>
      </c>
      <c r="G420" s="860" t="s">
        <v>773</v>
      </c>
      <c r="H420" s="860" t="s">
        <v>774</v>
      </c>
      <c r="I420" s="863" t="s">
        <v>771</v>
      </c>
      <c r="J420" s="889"/>
      <c r="K420" s="890" t="s">
        <v>775</v>
      </c>
      <c r="L420" s="857"/>
      <c r="M420" s="857"/>
      <c r="N420" s="136"/>
    </row>
    <row r="421" spans="1:14">
      <c r="A421" s="853"/>
      <c r="B421" s="860" t="s">
        <v>47</v>
      </c>
      <c r="C421" s="861">
        <v>20</v>
      </c>
      <c r="D421" s="888">
        <v>13.72</v>
      </c>
      <c r="E421" s="860">
        <v>0.7</v>
      </c>
      <c r="F421" s="860">
        <v>1.1000000000000001</v>
      </c>
      <c r="G421" s="860">
        <v>1.03</v>
      </c>
      <c r="H421" s="860">
        <v>1.01</v>
      </c>
      <c r="I421" s="866">
        <f>(((D421*E421)*F421)+H421)*G421</f>
        <v>11.921631999999999</v>
      </c>
      <c r="J421" s="867"/>
      <c r="K421" s="868">
        <v>23</v>
      </c>
      <c r="L421" s="857"/>
      <c r="M421" s="857"/>
      <c r="N421" s="136"/>
    </row>
    <row r="422" spans="1:14">
      <c r="A422" s="853"/>
      <c r="B422" s="860" t="s">
        <v>49</v>
      </c>
      <c r="C422" s="892">
        <v>30</v>
      </c>
      <c r="D422" s="888">
        <v>20.27</v>
      </c>
      <c r="E422" s="860">
        <v>0.7</v>
      </c>
      <c r="F422" s="860">
        <v>1.1000000000000001</v>
      </c>
      <c r="G422" s="860">
        <v>1.03</v>
      </c>
      <c r="H422" s="860">
        <v>1.01</v>
      </c>
      <c r="I422" s="866">
        <f t="shared" ref="I422:I435" si="40">(((D422*E422)*F422)+H422)*G422</f>
        <v>17.116436999999998</v>
      </c>
      <c r="J422" s="867"/>
      <c r="K422" s="868">
        <v>23</v>
      </c>
      <c r="L422" s="893" t="s">
        <v>888</v>
      </c>
      <c r="M422" s="893"/>
      <c r="N422" s="136"/>
    </row>
    <row r="423" spans="1:14">
      <c r="A423" s="853"/>
      <c r="B423" s="860" t="s">
        <v>51</v>
      </c>
      <c r="C423" s="892">
        <v>30</v>
      </c>
      <c r="D423" s="888">
        <v>22.55</v>
      </c>
      <c r="E423" s="860">
        <v>0.7</v>
      </c>
      <c r="F423" s="860">
        <v>1.1000000000000001</v>
      </c>
      <c r="G423" s="860">
        <v>1.03</v>
      </c>
      <c r="H423" s="860">
        <v>1.4</v>
      </c>
      <c r="I423" s="866">
        <f t="shared" si="40"/>
        <v>19.326405000000001</v>
      </c>
      <c r="J423" s="867"/>
      <c r="K423" s="868">
        <v>25</v>
      </c>
      <c r="L423" s="893" t="s">
        <v>888</v>
      </c>
      <c r="M423" s="893"/>
      <c r="N423" s="136"/>
    </row>
    <row r="424" spans="1:14">
      <c r="A424" s="853"/>
      <c r="B424" s="860" t="s">
        <v>53</v>
      </c>
      <c r="C424" s="892">
        <v>40</v>
      </c>
      <c r="D424" s="888">
        <v>32.56</v>
      </c>
      <c r="E424" s="860">
        <v>0.7</v>
      </c>
      <c r="F424" s="860">
        <v>1.1000000000000001</v>
      </c>
      <c r="G424" s="860">
        <v>1.03</v>
      </c>
      <c r="H424" s="860">
        <v>1.4</v>
      </c>
      <c r="I424" s="866">
        <f t="shared" si="40"/>
        <v>27.265336000000005</v>
      </c>
      <c r="J424" s="867"/>
      <c r="K424" s="868">
        <v>25</v>
      </c>
      <c r="L424" s="893" t="s">
        <v>888</v>
      </c>
      <c r="M424" s="893"/>
      <c r="N424" s="136"/>
    </row>
    <row r="425" spans="1:14">
      <c r="A425" s="853"/>
      <c r="B425" s="860" t="s">
        <v>55</v>
      </c>
      <c r="C425" s="892">
        <v>50</v>
      </c>
      <c r="D425" s="888">
        <v>44.33</v>
      </c>
      <c r="E425" s="860">
        <v>0.7</v>
      </c>
      <c r="F425" s="860">
        <v>1.1000000000000001</v>
      </c>
      <c r="G425" s="860">
        <v>1.03</v>
      </c>
      <c r="H425" s="860">
        <v>1.69</v>
      </c>
      <c r="I425" s="866">
        <f t="shared" si="40"/>
        <v>36.898822999999993</v>
      </c>
      <c r="J425" s="867"/>
      <c r="K425" s="868">
        <v>25</v>
      </c>
      <c r="L425" s="893" t="s">
        <v>888</v>
      </c>
      <c r="M425" s="893"/>
      <c r="N425" s="136"/>
    </row>
    <row r="426" spans="1:14">
      <c r="A426" s="853"/>
      <c r="B426" s="860" t="s">
        <v>57</v>
      </c>
      <c r="C426" s="892">
        <v>60</v>
      </c>
      <c r="D426" s="888">
        <v>60.43</v>
      </c>
      <c r="E426" s="860">
        <v>0.7</v>
      </c>
      <c r="F426" s="860">
        <v>1.1499999999999999</v>
      </c>
      <c r="G426" s="860">
        <v>1.03</v>
      </c>
      <c r="H426" s="860">
        <v>2.0499999999999998</v>
      </c>
      <c r="I426" s="866">
        <f t="shared" si="40"/>
        <v>52.21703449999999</v>
      </c>
      <c r="J426" s="867"/>
      <c r="K426" s="868">
        <v>25</v>
      </c>
      <c r="L426" s="893" t="s">
        <v>888</v>
      </c>
      <c r="M426" s="893"/>
      <c r="N426" s="136"/>
    </row>
    <row r="427" spans="1:14">
      <c r="A427" s="853"/>
      <c r="B427" s="860" t="s">
        <v>59</v>
      </c>
      <c r="C427" s="892">
        <v>80</v>
      </c>
      <c r="D427" s="888">
        <v>111.82</v>
      </c>
      <c r="E427" s="860">
        <v>0.7</v>
      </c>
      <c r="F427" s="860">
        <v>1.1499999999999999</v>
      </c>
      <c r="G427" s="860">
        <v>1.03</v>
      </c>
      <c r="H427" s="860">
        <v>2.59</v>
      </c>
      <c r="I427" s="866">
        <f t="shared" si="40"/>
        <v>95.383252999999982</v>
      </c>
      <c r="J427" s="867"/>
      <c r="K427" s="868">
        <v>25</v>
      </c>
      <c r="L427" s="893" t="s">
        <v>888</v>
      </c>
      <c r="M427" s="893"/>
      <c r="N427" s="136"/>
    </row>
    <row r="428" spans="1:14">
      <c r="A428" s="853"/>
      <c r="B428" s="860" t="s">
        <v>60</v>
      </c>
      <c r="C428" s="892">
        <v>90</v>
      </c>
      <c r="D428" s="888">
        <v>157.08000000000001</v>
      </c>
      <c r="E428" s="860">
        <v>0.7</v>
      </c>
      <c r="F428" s="860">
        <v>1.1499999999999999</v>
      </c>
      <c r="G428" s="860">
        <v>1.03</v>
      </c>
      <c r="H428" s="860">
        <v>3.14</v>
      </c>
      <c r="I428" s="866">
        <f t="shared" si="40"/>
        <v>133.477082</v>
      </c>
      <c r="J428" s="867"/>
      <c r="K428" s="868">
        <v>30</v>
      </c>
      <c r="L428" s="893" t="s">
        <v>888</v>
      </c>
      <c r="M428" s="893"/>
      <c r="N428" s="136"/>
    </row>
    <row r="429" spans="1:14">
      <c r="A429" s="853"/>
      <c r="B429" s="860" t="s">
        <v>62</v>
      </c>
      <c r="C429" s="892">
        <v>120</v>
      </c>
      <c r="D429" s="888">
        <v>277.06</v>
      </c>
      <c r="E429" s="860">
        <v>0.7</v>
      </c>
      <c r="F429" s="860">
        <v>1.1499999999999999</v>
      </c>
      <c r="G429" s="860">
        <v>1.03</v>
      </c>
      <c r="H429" s="860">
        <v>3.86</v>
      </c>
      <c r="I429" s="866">
        <f t="shared" si="40"/>
        <v>233.70009899999999</v>
      </c>
      <c r="J429" s="867"/>
      <c r="K429" s="868">
        <v>30</v>
      </c>
      <c r="L429" s="893" t="s">
        <v>888</v>
      </c>
      <c r="M429" s="893"/>
      <c r="N429" s="136"/>
    </row>
    <row r="430" spans="1:14">
      <c r="A430" s="853"/>
      <c r="B430" s="860" t="s">
        <v>63</v>
      </c>
      <c r="C430" s="892">
        <v>120</v>
      </c>
      <c r="D430" s="888">
        <v>352.04</v>
      </c>
      <c r="E430" s="860">
        <v>0.7</v>
      </c>
      <c r="F430" s="860">
        <v>1.1499999999999999</v>
      </c>
      <c r="G430" s="860">
        <v>1.03</v>
      </c>
      <c r="H430" s="860">
        <v>4.7699999999999996</v>
      </c>
      <c r="I430" s="866">
        <f t="shared" si="40"/>
        <v>296.80706599999996</v>
      </c>
      <c r="J430" s="867"/>
      <c r="K430" s="868">
        <v>35</v>
      </c>
      <c r="L430" s="893" t="s">
        <v>888</v>
      </c>
      <c r="M430" s="893"/>
      <c r="N430" s="136"/>
    </row>
    <row r="431" spans="1:14">
      <c r="A431" s="853"/>
      <c r="B431" s="860" t="s">
        <v>66</v>
      </c>
      <c r="C431" s="892">
        <v>120</v>
      </c>
      <c r="D431" s="888">
        <v>368.82</v>
      </c>
      <c r="E431" s="860">
        <v>0.7</v>
      </c>
      <c r="F431" s="860">
        <v>1.1499999999999999</v>
      </c>
      <c r="G431" s="860">
        <v>1.03</v>
      </c>
      <c r="H431" s="860">
        <v>5.67</v>
      </c>
      <c r="I431" s="866">
        <f t="shared" si="40"/>
        <v>311.64720299999999</v>
      </c>
      <c r="J431" s="867"/>
      <c r="K431" s="868">
        <v>35</v>
      </c>
      <c r="L431" s="893" t="s">
        <v>888</v>
      </c>
      <c r="M431" s="893"/>
      <c r="N431" s="136"/>
    </row>
    <row r="432" spans="1:14">
      <c r="A432" s="853"/>
      <c r="B432" s="860" t="s">
        <v>121</v>
      </c>
      <c r="C432" s="892">
        <v>120</v>
      </c>
      <c r="D432" s="888">
        <v>407.42</v>
      </c>
      <c r="E432" s="860">
        <v>0.7</v>
      </c>
      <c r="F432" s="860">
        <v>1.1499999999999999</v>
      </c>
      <c r="G432" s="860">
        <v>1.03</v>
      </c>
      <c r="H432" s="860">
        <v>7.48</v>
      </c>
      <c r="I432" s="866">
        <f t="shared" si="40"/>
        <v>345.51669300000003</v>
      </c>
      <c r="J432" s="867"/>
      <c r="K432" s="868">
        <v>35</v>
      </c>
      <c r="L432" s="893" t="s">
        <v>888</v>
      </c>
      <c r="M432" s="893"/>
      <c r="N432" s="136"/>
    </row>
    <row r="433" spans="1:20">
      <c r="A433" s="853"/>
      <c r="B433" s="860" t="s">
        <v>122</v>
      </c>
      <c r="C433" s="892">
        <v>120</v>
      </c>
      <c r="D433" s="888">
        <v>460.4</v>
      </c>
      <c r="E433" s="860">
        <v>0.7</v>
      </c>
      <c r="F433" s="860">
        <v>1.1499999999999999</v>
      </c>
      <c r="G433" s="860">
        <v>1.03</v>
      </c>
      <c r="H433" s="860">
        <v>9.2899999999999991</v>
      </c>
      <c r="I433" s="866">
        <f t="shared" si="40"/>
        <v>391.30935999999997</v>
      </c>
      <c r="J433" s="867"/>
      <c r="K433" s="868">
        <v>35</v>
      </c>
      <c r="L433" s="893" t="s">
        <v>888</v>
      </c>
      <c r="M433" s="893"/>
      <c r="N433" s="136"/>
    </row>
    <row r="434" spans="1:20">
      <c r="A434" s="853"/>
      <c r="B434" s="860" t="s">
        <v>156</v>
      </c>
      <c r="C434" s="892">
        <v>120</v>
      </c>
      <c r="D434" s="888">
        <v>598.09</v>
      </c>
      <c r="E434" s="860">
        <v>0.7</v>
      </c>
      <c r="F434" s="860">
        <v>1.1499999999999999</v>
      </c>
      <c r="G434" s="860">
        <v>1.03</v>
      </c>
      <c r="H434" s="860">
        <v>10.5</v>
      </c>
      <c r="I434" s="866">
        <f t="shared" si="40"/>
        <v>506.72132349999998</v>
      </c>
      <c r="J434" s="867"/>
      <c r="K434" s="868">
        <v>40</v>
      </c>
      <c r="L434" s="893" t="s">
        <v>888</v>
      </c>
      <c r="M434" s="893"/>
      <c r="N434" s="136"/>
    </row>
    <row r="435" spans="1:20">
      <c r="A435" s="853"/>
      <c r="B435" s="860" t="s">
        <v>158</v>
      </c>
      <c r="C435" s="892">
        <v>120</v>
      </c>
      <c r="D435" s="888">
        <v>672.08</v>
      </c>
      <c r="E435" s="860">
        <v>0.7</v>
      </c>
      <c r="F435" s="860">
        <v>1.1499999999999999</v>
      </c>
      <c r="G435" s="860">
        <v>1.03</v>
      </c>
      <c r="H435" s="860">
        <v>12.5</v>
      </c>
      <c r="I435" s="866">
        <f t="shared" si="40"/>
        <v>570.130132</v>
      </c>
      <c r="J435" s="867"/>
      <c r="K435" s="868">
        <v>40</v>
      </c>
      <c r="L435" s="893" t="s">
        <v>888</v>
      </c>
      <c r="M435" s="893"/>
      <c r="N435" s="136"/>
    </row>
    <row r="436" spans="1:20">
      <c r="A436" s="853"/>
      <c r="B436" s="847"/>
      <c r="C436" s="854"/>
      <c r="D436" s="855"/>
      <c r="E436" s="853"/>
      <c r="F436" s="853"/>
      <c r="G436" s="853"/>
      <c r="H436" s="853"/>
      <c r="I436" s="856"/>
      <c r="J436" s="856"/>
      <c r="K436" s="851"/>
      <c r="L436" s="857"/>
      <c r="M436" s="857"/>
      <c r="N436" s="136"/>
    </row>
    <row r="437" spans="1:20">
      <c r="A437" s="853"/>
      <c r="B437" s="847"/>
      <c r="C437" s="854"/>
      <c r="D437" s="855"/>
      <c r="E437" s="853"/>
      <c r="F437" s="853"/>
      <c r="G437" s="853"/>
      <c r="H437" s="853"/>
      <c r="I437" s="856"/>
      <c r="J437" s="856"/>
      <c r="K437" s="851"/>
      <c r="L437" s="857"/>
      <c r="M437" s="857"/>
      <c r="N437" s="136"/>
    </row>
    <row r="438" spans="1:20">
      <c r="A438" s="853"/>
      <c r="B438" s="847" t="s">
        <v>805</v>
      </c>
      <c r="C438" s="848" t="s">
        <v>806</v>
      </c>
      <c r="D438" s="887" t="s">
        <v>891</v>
      </c>
      <c r="E438" s="853"/>
      <c r="F438" s="853"/>
      <c r="G438" s="853"/>
      <c r="H438" s="853"/>
      <c r="I438" s="856"/>
      <c r="J438" s="856"/>
      <c r="K438" s="854"/>
      <c r="L438" s="895"/>
      <c r="M438" s="895"/>
      <c r="N438" s="861" t="s">
        <v>805</v>
      </c>
      <c r="O438" s="860" t="s">
        <v>892</v>
      </c>
      <c r="P438" s="860" t="s">
        <v>891</v>
      </c>
      <c r="Q438" s="860"/>
      <c r="R438" s="860"/>
      <c r="S438" s="11"/>
      <c r="T438" s="11"/>
    </row>
    <row r="439" spans="1:20">
      <c r="A439" s="853"/>
      <c r="B439" s="860" t="s">
        <v>769</v>
      </c>
      <c r="C439" s="861" t="s">
        <v>770</v>
      </c>
      <c r="D439" s="888" t="s">
        <v>771</v>
      </c>
      <c r="E439" s="860" t="s">
        <v>613</v>
      </c>
      <c r="F439" s="860" t="s">
        <v>772</v>
      </c>
      <c r="G439" s="860" t="s">
        <v>773</v>
      </c>
      <c r="H439" s="860" t="s">
        <v>774</v>
      </c>
      <c r="I439" s="863" t="s">
        <v>771</v>
      </c>
      <c r="J439" s="889"/>
      <c r="K439" s="896" t="s">
        <v>775</v>
      </c>
      <c r="L439" s="895"/>
      <c r="M439" s="895"/>
      <c r="N439" s="861" t="s">
        <v>769</v>
      </c>
      <c r="O439" s="860" t="s">
        <v>770</v>
      </c>
      <c r="P439" s="860" t="s">
        <v>771</v>
      </c>
      <c r="Q439" s="860" t="s">
        <v>613</v>
      </c>
      <c r="R439" s="860" t="s">
        <v>772</v>
      </c>
      <c r="S439" s="11" t="s">
        <v>773</v>
      </c>
      <c r="T439" s="11" t="s">
        <v>774</v>
      </c>
    </row>
    <row r="440" spans="1:20">
      <c r="A440" s="853"/>
      <c r="B440" s="860" t="s">
        <v>47</v>
      </c>
      <c r="C440" s="891">
        <v>20</v>
      </c>
      <c r="D440" s="888">
        <v>11.72</v>
      </c>
      <c r="E440" s="860">
        <v>0.7</v>
      </c>
      <c r="F440" s="860">
        <v>1.1000000000000001</v>
      </c>
      <c r="G440" s="860">
        <v>1.03</v>
      </c>
      <c r="H440" s="860">
        <v>1.01</v>
      </c>
      <c r="I440" s="866">
        <f>(((D440*E440)*F440)+H440)*G440</f>
        <v>10.335432000000003</v>
      </c>
      <c r="J440" s="867"/>
      <c r="K440" s="897">
        <v>23</v>
      </c>
      <c r="L440" s="895" t="s">
        <v>808</v>
      </c>
      <c r="M440" s="895"/>
      <c r="N440" s="861" t="s">
        <v>47</v>
      </c>
      <c r="O440" s="860">
        <v>20</v>
      </c>
      <c r="P440" s="860">
        <v>19.54</v>
      </c>
      <c r="Q440" s="860">
        <v>0.7</v>
      </c>
      <c r="R440" s="860">
        <v>1.1000000000000001</v>
      </c>
      <c r="S440" s="11">
        <v>1.03</v>
      </c>
      <c r="T440" s="11">
        <v>1.01</v>
      </c>
    </row>
    <row r="441" spans="1:20">
      <c r="A441" s="853"/>
      <c r="B441" s="860" t="s">
        <v>49</v>
      </c>
      <c r="C441" s="891">
        <v>20</v>
      </c>
      <c r="D441" s="888">
        <v>12.56</v>
      </c>
      <c r="E441" s="860">
        <v>0.7</v>
      </c>
      <c r="F441" s="860">
        <v>1.1000000000000001</v>
      </c>
      <c r="G441" s="860">
        <v>1.03</v>
      </c>
      <c r="H441" s="860">
        <v>1.01</v>
      </c>
      <c r="I441" s="866">
        <f t="shared" ref="I441:I454" si="41">(((D441*E441)*F441)+H441)*G441</f>
        <v>11.001636000000001</v>
      </c>
      <c r="J441" s="867"/>
      <c r="K441" s="897">
        <v>23</v>
      </c>
      <c r="L441" s="895" t="s">
        <v>809</v>
      </c>
      <c r="M441" s="895"/>
      <c r="N441" s="861" t="s">
        <v>49</v>
      </c>
      <c r="O441" s="860">
        <v>20</v>
      </c>
      <c r="P441" s="860">
        <v>21.71</v>
      </c>
      <c r="Q441" s="860">
        <v>0.7</v>
      </c>
      <c r="R441" s="860">
        <v>1.1000000000000001</v>
      </c>
      <c r="S441" s="11">
        <v>1.03</v>
      </c>
      <c r="T441" s="11">
        <v>1.01</v>
      </c>
    </row>
    <row r="442" spans="1:20">
      <c r="A442" s="853"/>
      <c r="B442" s="860" t="s">
        <v>51</v>
      </c>
      <c r="C442" s="891">
        <v>30</v>
      </c>
      <c r="D442" s="888">
        <v>18.559999999999999</v>
      </c>
      <c r="E442" s="860">
        <v>0.7</v>
      </c>
      <c r="F442" s="860">
        <v>1.1000000000000001</v>
      </c>
      <c r="G442" s="860">
        <v>1.03</v>
      </c>
      <c r="H442" s="860">
        <v>1.4</v>
      </c>
      <c r="I442" s="866">
        <f t="shared" si="41"/>
        <v>16.161936000000001</v>
      </c>
      <c r="J442" s="867"/>
      <c r="K442" s="897">
        <v>25</v>
      </c>
      <c r="L442" s="895" t="s">
        <v>265</v>
      </c>
      <c r="M442" s="895"/>
      <c r="N442" s="861" t="s">
        <v>51</v>
      </c>
      <c r="O442" s="860">
        <v>30</v>
      </c>
      <c r="P442" s="860">
        <v>33.96</v>
      </c>
      <c r="Q442" s="860">
        <v>0.7</v>
      </c>
      <c r="R442" s="860">
        <v>1.1000000000000001</v>
      </c>
      <c r="S442" s="11">
        <v>1.03</v>
      </c>
      <c r="T442" s="11">
        <v>1.4</v>
      </c>
    </row>
    <row r="443" spans="1:20">
      <c r="A443" s="853"/>
      <c r="B443" s="860" t="s">
        <v>53</v>
      </c>
      <c r="C443" s="891">
        <v>40</v>
      </c>
      <c r="D443" s="888">
        <v>29.81</v>
      </c>
      <c r="E443" s="860">
        <v>0.7</v>
      </c>
      <c r="F443" s="860">
        <v>1.1000000000000001</v>
      </c>
      <c r="G443" s="860">
        <v>1.03</v>
      </c>
      <c r="H443" s="860">
        <v>1.4</v>
      </c>
      <c r="I443" s="866">
        <f t="shared" si="41"/>
        <v>25.084310999999996</v>
      </c>
      <c r="J443" s="867"/>
      <c r="K443" s="897">
        <v>25</v>
      </c>
      <c r="L443" s="895" t="s">
        <v>810</v>
      </c>
      <c r="M443" s="895"/>
      <c r="N443" s="861" t="s">
        <v>53</v>
      </c>
      <c r="O443" s="860">
        <v>40</v>
      </c>
      <c r="P443" s="860">
        <v>55.71</v>
      </c>
      <c r="Q443" s="860">
        <v>0.7</v>
      </c>
      <c r="R443" s="860">
        <v>1.1000000000000001</v>
      </c>
      <c r="S443" s="11">
        <v>1.03</v>
      </c>
      <c r="T443" s="11">
        <v>1.4</v>
      </c>
    </row>
    <row r="444" spans="1:20">
      <c r="A444" s="853"/>
      <c r="B444" s="860" t="s">
        <v>55</v>
      </c>
      <c r="C444" s="891">
        <v>40</v>
      </c>
      <c r="D444" s="888">
        <v>30.56</v>
      </c>
      <c r="E444" s="860">
        <v>0.7</v>
      </c>
      <c r="F444" s="860">
        <v>1.1000000000000001</v>
      </c>
      <c r="G444" s="860">
        <v>1.03</v>
      </c>
      <c r="H444" s="860">
        <v>1.69</v>
      </c>
      <c r="I444" s="866">
        <f t="shared" si="41"/>
        <v>25.977836000000003</v>
      </c>
      <c r="J444" s="867"/>
      <c r="K444" s="897">
        <v>25</v>
      </c>
      <c r="L444" s="895" t="s">
        <v>811</v>
      </c>
      <c r="M444" s="895"/>
      <c r="N444" s="861" t="s">
        <v>55</v>
      </c>
      <c r="O444" s="860">
        <v>40</v>
      </c>
      <c r="P444" s="860">
        <v>57.73</v>
      </c>
      <c r="Q444" s="860">
        <v>0.7</v>
      </c>
      <c r="R444" s="860">
        <v>1.1000000000000001</v>
      </c>
      <c r="S444" s="11">
        <v>1.03</v>
      </c>
      <c r="T444" s="11">
        <v>1.69</v>
      </c>
    </row>
    <row r="445" spans="1:20">
      <c r="A445" s="853"/>
      <c r="B445" s="860" t="s">
        <v>57</v>
      </c>
      <c r="C445" s="891">
        <v>50</v>
      </c>
      <c r="D445" s="888">
        <v>44.17</v>
      </c>
      <c r="E445" s="860">
        <v>0.7</v>
      </c>
      <c r="F445" s="860">
        <v>1.1499999999999999</v>
      </c>
      <c r="G445" s="860">
        <v>1.03</v>
      </c>
      <c r="H445" s="860">
        <v>2.0499999999999998</v>
      </c>
      <c r="I445" s="866">
        <f t="shared" si="41"/>
        <v>38.735055499999994</v>
      </c>
      <c r="J445" s="867"/>
      <c r="K445" s="897">
        <v>25</v>
      </c>
      <c r="L445" s="895" t="s">
        <v>812</v>
      </c>
      <c r="M445" s="895"/>
      <c r="N445" s="861" t="s">
        <v>57</v>
      </c>
      <c r="O445" s="860">
        <v>50</v>
      </c>
      <c r="P445" s="860">
        <v>85.79</v>
      </c>
      <c r="Q445" s="860">
        <v>0.7</v>
      </c>
      <c r="R445" s="860">
        <v>1.1499999999999999</v>
      </c>
      <c r="S445" s="11">
        <v>1.03</v>
      </c>
      <c r="T445" s="11">
        <v>2.0499999999999998</v>
      </c>
    </row>
    <row r="446" spans="1:20">
      <c r="A446" s="853"/>
      <c r="B446" s="860" t="s">
        <v>59</v>
      </c>
      <c r="C446" s="891">
        <v>70</v>
      </c>
      <c r="D446" s="888">
        <v>87.07</v>
      </c>
      <c r="E446" s="860">
        <v>0.7</v>
      </c>
      <c r="F446" s="860">
        <v>1.1499999999999999</v>
      </c>
      <c r="G446" s="860">
        <v>1.03</v>
      </c>
      <c r="H446" s="860">
        <v>2.59</v>
      </c>
      <c r="I446" s="866">
        <f t="shared" si="41"/>
        <v>74.861790499999984</v>
      </c>
      <c r="J446" s="867"/>
      <c r="K446" s="897">
        <v>25</v>
      </c>
      <c r="L446" s="895"/>
      <c r="M446" s="895"/>
      <c r="N446" s="861" t="s">
        <v>59</v>
      </c>
      <c r="O446" s="860">
        <v>70</v>
      </c>
      <c r="P446" s="860">
        <v>148.07</v>
      </c>
      <c r="Q446" s="860">
        <v>0.7</v>
      </c>
      <c r="R446" s="860">
        <v>1.1499999999999999</v>
      </c>
      <c r="S446" s="11">
        <v>1.03</v>
      </c>
      <c r="T446" s="11">
        <v>2.59</v>
      </c>
    </row>
    <row r="447" spans="1:20">
      <c r="A447" s="853"/>
      <c r="B447" s="860" t="s">
        <v>60</v>
      </c>
      <c r="C447" s="891">
        <v>80</v>
      </c>
      <c r="D447" s="888">
        <v>132.46</v>
      </c>
      <c r="E447" s="860">
        <v>0.7</v>
      </c>
      <c r="F447" s="860">
        <v>1.1499999999999999</v>
      </c>
      <c r="G447" s="860">
        <v>1.03</v>
      </c>
      <c r="H447" s="860">
        <v>3.14</v>
      </c>
      <c r="I447" s="866">
        <f t="shared" si="41"/>
        <v>113.06340899999999</v>
      </c>
      <c r="J447" s="867"/>
      <c r="K447" s="897">
        <v>30</v>
      </c>
      <c r="L447" s="895"/>
      <c r="M447" s="895"/>
      <c r="N447" s="861" t="s">
        <v>60</v>
      </c>
      <c r="O447" s="860">
        <v>80</v>
      </c>
      <c r="P447" s="860">
        <v>214.58</v>
      </c>
      <c r="Q447" s="860">
        <v>0.7</v>
      </c>
      <c r="R447" s="860">
        <v>1.1499999999999999</v>
      </c>
      <c r="S447" s="11">
        <v>1.03</v>
      </c>
      <c r="T447" s="11">
        <v>3.14</v>
      </c>
    </row>
    <row r="448" spans="1:20">
      <c r="A448" s="853"/>
      <c r="B448" s="860" t="s">
        <v>62</v>
      </c>
      <c r="C448" s="891">
        <v>100</v>
      </c>
      <c r="D448" s="888">
        <v>184.66</v>
      </c>
      <c r="E448" s="860">
        <v>0.7</v>
      </c>
      <c r="F448" s="860">
        <v>1.1499999999999999</v>
      </c>
      <c r="G448" s="860">
        <v>1.03</v>
      </c>
      <c r="H448" s="860">
        <v>3.86</v>
      </c>
      <c r="I448" s="866">
        <f t="shared" si="41"/>
        <v>157.08663900000002</v>
      </c>
      <c r="J448" s="867"/>
      <c r="K448" s="897">
        <v>30</v>
      </c>
      <c r="L448" s="895"/>
      <c r="M448" s="895"/>
      <c r="N448" s="861" t="s">
        <v>62</v>
      </c>
      <c r="O448" s="860">
        <v>100</v>
      </c>
      <c r="P448" s="860">
        <v>298.92</v>
      </c>
      <c r="Q448" s="860">
        <v>0.7</v>
      </c>
      <c r="R448" s="860">
        <v>1.1499999999999999</v>
      </c>
      <c r="S448" s="11">
        <v>1.03</v>
      </c>
      <c r="T448" s="11">
        <v>3.86</v>
      </c>
    </row>
    <row r="449" spans="1:20">
      <c r="A449" s="853"/>
      <c r="B449" s="860" t="s">
        <v>63</v>
      </c>
      <c r="C449" s="891">
        <v>100</v>
      </c>
      <c r="D449" s="888">
        <v>199.51</v>
      </c>
      <c r="E449" s="860">
        <v>0.7</v>
      </c>
      <c r="F449" s="860">
        <v>1.1499999999999999</v>
      </c>
      <c r="G449" s="860">
        <v>1.03</v>
      </c>
      <c r="H449" s="860">
        <v>4.7699999999999996</v>
      </c>
      <c r="I449" s="866">
        <f t="shared" si="41"/>
        <v>170.33681649999997</v>
      </c>
      <c r="J449" s="867"/>
      <c r="K449" s="897">
        <v>35</v>
      </c>
      <c r="L449" s="895"/>
      <c r="M449" s="895"/>
      <c r="N449" s="861" t="s">
        <v>63</v>
      </c>
      <c r="O449" s="860">
        <v>100</v>
      </c>
      <c r="P449" s="860">
        <v>335.98</v>
      </c>
      <c r="Q449" s="860">
        <v>0.7</v>
      </c>
      <c r="R449" s="860">
        <v>1.1499999999999999</v>
      </c>
      <c r="S449" s="11">
        <v>1.03</v>
      </c>
      <c r="T449" s="11">
        <v>4.7699999999999996</v>
      </c>
    </row>
    <row r="450" spans="1:20">
      <c r="A450" s="853"/>
      <c r="B450" s="860" t="s">
        <v>66</v>
      </c>
      <c r="C450" s="891">
        <v>100</v>
      </c>
      <c r="D450" s="888">
        <v>241.51</v>
      </c>
      <c r="E450" s="860">
        <v>0.7</v>
      </c>
      <c r="F450" s="860">
        <v>1.1499999999999999</v>
      </c>
      <c r="G450" s="860">
        <v>1.03</v>
      </c>
      <c r="H450" s="860">
        <v>5.67</v>
      </c>
      <c r="I450" s="866">
        <f t="shared" si="41"/>
        <v>206.08811649999996</v>
      </c>
      <c r="J450" s="867"/>
      <c r="K450" s="897">
        <v>35</v>
      </c>
      <c r="L450" s="895"/>
      <c r="M450" s="895"/>
      <c r="N450" s="861" t="s">
        <v>66</v>
      </c>
      <c r="O450" s="860">
        <v>100</v>
      </c>
      <c r="P450" s="860">
        <v>409.21</v>
      </c>
      <c r="Q450" s="860">
        <v>0.7</v>
      </c>
      <c r="R450" s="860">
        <v>1.1499999999999999</v>
      </c>
      <c r="S450" s="11">
        <v>1.03</v>
      </c>
      <c r="T450" s="11">
        <v>5.67</v>
      </c>
    </row>
    <row r="451" spans="1:20">
      <c r="A451" s="853"/>
      <c r="B451" s="860" t="s">
        <v>121</v>
      </c>
      <c r="C451" s="891">
        <v>100</v>
      </c>
      <c r="D451" s="888">
        <v>307.18</v>
      </c>
      <c r="E451" s="860">
        <v>0.7</v>
      </c>
      <c r="F451" s="860">
        <v>1.1499999999999999</v>
      </c>
      <c r="G451" s="860">
        <v>1.03</v>
      </c>
      <c r="H451" s="860">
        <v>7.48</v>
      </c>
      <c r="I451" s="866">
        <f t="shared" si="41"/>
        <v>262.40269699999999</v>
      </c>
      <c r="J451" s="867"/>
      <c r="K451" s="897">
        <v>35</v>
      </c>
      <c r="L451" s="895"/>
      <c r="M451" s="895"/>
      <c r="N451" s="861" t="s">
        <v>121</v>
      </c>
      <c r="O451" s="860">
        <v>100</v>
      </c>
      <c r="P451" s="860">
        <v>482.8</v>
      </c>
      <c r="Q451" s="860">
        <v>0.7</v>
      </c>
      <c r="R451" s="860">
        <v>1.1499999999999999</v>
      </c>
      <c r="S451" s="11">
        <v>1.03</v>
      </c>
      <c r="T451" s="11">
        <v>7.48</v>
      </c>
    </row>
    <row r="452" spans="1:20">
      <c r="A452" s="853"/>
      <c r="B452" s="860" t="s">
        <v>122</v>
      </c>
      <c r="C452" s="891">
        <v>100</v>
      </c>
      <c r="D452" s="888">
        <v>326.19</v>
      </c>
      <c r="E452" s="860">
        <v>0.7</v>
      </c>
      <c r="F452" s="860">
        <v>1.1499999999999999</v>
      </c>
      <c r="G452" s="860">
        <v>1.03</v>
      </c>
      <c r="H452" s="860">
        <v>9.2899999999999991</v>
      </c>
      <c r="I452" s="866">
        <f t="shared" si="41"/>
        <v>280.02913849999993</v>
      </c>
      <c r="J452" s="867"/>
      <c r="K452" s="868">
        <v>35</v>
      </c>
      <c r="L452" s="857"/>
      <c r="M452" s="857"/>
      <c r="N452" s="854"/>
      <c r="O452" s="853"/>
      <c r="P452" s="853"/>
      <c r="Q452" s="853"/>
      <c r="R452" s="853"/>
    </row>
    <row r="453" spans="1:20">
      <c r="A453" s="853"/>
      <c r="B453" s="860" t="s">
        <v>156</v>
      </c>
      <c r="C453" s="891">
        <v>100</v>
      </c>
      <c r="D453" s="888">
        <v>415.64</v>
      </c>
      <c r="E453" s="860">
        <v>0.7</v>
      </c>
      <c r="F453" s="860">
        <v>1.1499999999999999</v>
      </c>
      <c r="G453" s="860">
        <v>1.03</v>
      </c>
      <c r="H453" s="860">
        <v>10.5</v>
      </c>
      <c r="I453" s="866">
        <f t="shared" si="41"/>
        <v>355.44290599999994</v>
      </c>
      <c r="J453" s="867"/>
      <c r="K453" s="868">
        <v>40</v>
      </c>
      <c r="L453" s="857"/>
      <c r="M453" s="857"/>
      <c r="N453" s="854"/>
      <c r="O453" s="853"/>
      <c r="P453" s="853"/>
      <c r="Q453" s="853"/>
      <c r="R453" s="853"/>
    </row>
    <row r="454" spans="1:20">
      <c r="A454" s="853"/>
      <c r="B454" s="860" t="s">
        <v>158</v>
      </c>
      <c r="C454" s="891">
        <v>100</v>
      </c>
      <c r="D454" s="888">
        <v>477.35</v>
      </c>
      <c r="E454" s="860">
        <v>0.7</v>
      </c>
      <c r="F454" s="860">
        <v>1.1499999999999999</v>
      </c>
      <c r="G454" s="860">
        <v>1.03</v>
      </c>
      <c r="H454" s="860">
        <v>12.5</v>
      </c>
      <c r="I454" s="866">
        <f t="shared" si="41"/>
        <v>408.66975249999996</v>
      </c>
      <c r="J454" s="867"/>
      <c r="K454" s="868">
        <v>40</v>
      </c>
      <c r="L454" s="857"/>
      <c r="M454" s="857"/>
      <c r="N454" s="854"/>
      <c r="O454" s="853"/>
      <c r="P454" s="853"/>
      <c r="Q454" s="853"/>
      <c r="R454" s="853"/>
    </row>
    <row r="455" spans="1:20">
      <c r="A455" s="853"/>
      <c r="B455" s="847"/>
      <c r="C455" s="854"/>
      <c r="D455" s="855"/>
      <c r="E455" s="853"/>
      <c r="F455" s="853"/>
      <c r="G455" s="853"/>
      <c r="H455" s="853"/>
      <c r="I455" s="856"/>
      <c r="J455" s="856"/>
      <c r="K455" s="851"/>
      <c r="L455" s="857"/>
      <c r="M455" s="857"/>
      <c r="N455" s="854"/>
      <c r="O455" s="853"/>
      <c r="P455" s="853"/>
      <c r="Q455" s="853"/>
      <c r="R455" s="853"/>
    </row>
    <row r="456" spans="1:20">
      <c r="A456" s="853"/>
      <c r="B456" s="847"/>
      <c r="C456" s="854"/>
      <c r="D456" s="855"/>
      <c r="E456" s="853"/>
      <c r="F456" s="853"/>
      <c r="G456" s="853"/>
      <c r="H456" s="853"/>
      <c r="I456" s="856"/>
      <c r="J456" s="856"/>
      <c r="K456" s="851"/>
      <c r="L456" s="857"/>
      <c r="M456" s="857"/>
      <c r="N456" s="854"/>
      <c r="O456" s="853"/>
      <c r="P456" s="853"/>
      <c r="Q456" s="853"/>
      <c r="R456" s="853"/>
    </row>
    <row r="457" spans="1:20">
      <c r="A457" s="853"/>
      <c r="B457" s="847" t="s">
        <v>805</v>
      </c>
      <c r="C457" s="848" t="s">
        <v>806</v>
      </c>
      <c r="D457" s="887" t="s">
        <v>891</v>
      </c>
      <c r="E457" s="853"/>
      <c r="F457" s="853"/>
      <c r="G457" s="853"/>
      <c r="H457" s="853"/>
      <c r="I457" s="856"/>
      <c r="J457" s="856"/>
      <c r="K457" s="854"/>
      <c r="L457" s="857"/>
      <c r="M457" s="857"/>
      <c r="N457" s="854"/>
      <c r="O457" s="853"/>
      <c r="P457" s="853"/>
      <c r="Q457" s="853"/>
      <c r="R457" s="853"/>
    </row>
    <row r="458" spans="1:20">
      <c r="A458" s="853"/>
      <c r="B458" s="860" t="s">
        <v>769</v>
      </c>
      <c r="C458" s="861" t="s">
        <v>770</v>
      </c>
      <c r="D458" s="888" t="s">
        <v>771</v>
      </c>
      <c r="E458" s="860" t="s">
        <v>613</v>
      </c>
      <c r="F458" s="860" t="s">
        <v>772</v>
      </c>
      <c r="G458" s="860" t="s">
        <v>773</v>
      </c>
      <c r="H458" s="860" t="s">
        <v>774</v>
      </c>
      <c r="I458" s="863" t="s">
        <v>771</v>
      </c>
      <c r="J458" s="889"/>
      <c r="K458" s="890" t="s">
        <v>775</v>
      </c>
      <c r="L458" s="857"/>
      <c r="M458" s="857"/>
      <c r="N458" s="854"/>
      <c r="O458" s="853"/>
      <c r="P458" s="853"/>
      <c r="Q458" s="853"/>
      <c r="R458" s="853"/>
    </row>
    <row r="459" spans="1:20">
      <c r="A459" s="853"/>
      <c r="B459" s="860" t="s">
        <v>47</v>
      </c>
      <c r="C459" s="861">
        <v>20</v>
      </c>
      <c r="D459" s="888">
        <v>12.56</v>
      </c>
      <c r="E459" s="860">
        <v>0.7</v>
      </c>
      <c r="F459" s="860">
        <v>1.1000000000000001</v>
      </c>
      <c r="G459" s="860">
        <v>1.03</v>
      </c>
      <c r="H459" s="860">
        <v>1.01</v>
      </c>
      <c r="I459" s="866">
        <f>(((D459*E459)*F459)+H459)*G459</f>
        <v>11.001636000000001</v>
      </c>
      <c r="J459" s="867"/>
      <c r="K459" s="868">
        <v>23</v>
      </c>
      <c r="L459" s="857"/>
      <c r="M459" s="857"/>
      <c r="N459" s="854"/>
      <c r="O459" s="853"/>
      <c r="P459" s="853"/>
      <c r="Q459" s="853"/>
      <c r="R459" s="853"/>
    </row>
    <row r="460" spans="1:20">
      <c r="A460" s="853"/>
      <c r="B460" s="860" t="s">
        <v>49</v>
      </c>
      <c r="C460" s="892">
        <v>30</v>
      </c>
      <c r="D460" s="888">
        <v>18.12</v>
      </c>
      <c r="E460" s="860">
        <v>0.7</v>
      </c>
      <c r="F460" s="860">
        <v>1.1000000000000001</v>
      </c>
      <c r="G460" s="860">
        <v>1.03</v>
      </c>
      <c r="H460" s="860">
        <v>1.01</v>
      </c>
      <c r="I460" s="866">
        <f t="shared" ref="I460:I473" si="42">(((D460*E460)*F460)+H460)*G460</f>
        <v>15.411272</v>
      </c>
      <c r="J460" s="867"/>
      <c r="K460" s="868">
        <v>23</v>
      </c>
      <c r="L460" s="893" t="s">
        <v>888</v>
      </c>
      <c r="M460" s="893"/>
      <c r="N460" s="854"/>
      <c r="O460" s="853"/>
      <c r="P460" s="853"/>
      <c r="Q460" s="853"/>
      <c r="R460" s="853"/>
    </row>
    <row r="461" spans="1:20">
      <c r="A461" s="853"/>
      <c r="B461" s="860" t="s">
        <v>51</v>
      </c>
      <c r="C461" s="892">
        <v>30</v>
      </c>
      <c r="D461" s="888">
        <v>18.559999999999999</v>
      </c>
      <c r="E461" s="860">
        <v>0.7</v>
      </c>
      <c r="F461" s="860">
        <v>1.1000000000000001</v>
      </c>
      <c r="G461" s="860">
        <v>1.03</v>
      </c>
      <c r="H461" s="860">
        <v>1.4</v>
      </c>
      <c r="I461" s="866">
        <f t="shared" si="42"/>
        <v>16.161936000000001</v>
      </c>
      <c r="J461" s="867"/>
      <c r="K461" s="868">
        <v>25</v>
      </c>
      <c r="L461" s="893" t="s">
        <v>888</v>
      </c>
      <c r="M461" s="893"/>
      <c r="N461" s="854"/>
      <c r="O461" s="853"/>
      <c r="P461" s="853"/>
      <c r="Q461" s="853"/>
      <c r="R461" s="853"/>
    </row>
    <row r="462" spans="1:20">
      <c r="A462" s="853"/>
      <c r="B462" s="860" t="s">
        <v>53</v>
      </c>
      <c r="C462" s="892">
        <v>40</v>
      </c>
      <c r="D462" s="888">
        <v>29.81</v>
      </c>
      <c r="E462" s="860">
        <v>0.7</v>
      </c>
      <c r="F462" s="860">
        <v>1.1000000000000001</v>
      </c>
      <c r="G462" s="860">
        <v>1.03</v>
      </c>
      <c r="H462" s="860">
        <v>1.4</v>
      </c>
      <c r="I462" s="866">
        <f t="shared" si="42"/>
        <v>25.084310999999996</v>
      </c>
      <c r="J462" s="867"/>
      <c r="K462" s="868">
        <v>25</v>
      </c>
      <c r="L462" s="893" t="s">
        <v>888</v>
      </c>
      <c r="M462" s="893"/>
      <c r="N462" s="854"/>
      <c r="O462" s="853"/>
      <c r="P462" s="853"/>
      <c r="Q462" s="853"/>
      <c r="R462" s="853"/>
    </row>
    <row r="463" spans="1:20">
      <c r="A463" s="853"/>
      <c r="B463" s="860" t="s">
        <v>55</v>
      </c>
      <c r="C463" s="892">
        <v>50</v>
      </c>
      <c r="D463" s="888">
        <v>40.6</v>
      </c>
      <c r="E463" s="860">
        <v>0.7</v>
      </c>
      <c r="F463" s="860">
        <v>1.1000000000000001</v>
      </c>
      <c r="G463" s="860">
        <v>1.03</v>
      </c>
      <c r="H463" s="860">
        <v>1.69</v>
      </c>
      <c r="I463" s="866">
        <f t="shared" si="42"/>
        <v>33.940559999999998</v>
      </c>
      <c r="J463" s="867"/>
      <c r="K463" s="868">
        <v>25</v>
      </c>
      <c r="L463" s="893" t="s">
        <v>888</v>
      </c>
      <c r="M463" s="893"/>
      <c r="N463" s="854"/>
      <c r="O463" s="853"/>
      <c r="P463" s="853"/>
      <c r="Q463" s="853"/>
      <c r="R463" s="853"/>
    </row>
    <row r="464" spans="1:20">
      <c r="A464" s="853"/>
      <c r="B464" s="860" t="s">
        <v>57</v>
      </c>
      <c r="C464" s="892">
        <v>60</v>
      </c>
      <c r="D464" s="888">
        <v>55.87</v>
      </c>
      <c r="E464" s="860">
        <v>0.7</v>
      </c>
      <c r="F464" s="860">
        <v>1.1499999999999999</v>
      </c>
      <c r="G464" s="860">
        <v>1.03</v>
      </c>
      <c r="H464" s="860">
        <v>2.0499999999999998</v>
      </c>
      <c r="I464" s="866">
        <f t="shared" si="42"/>
        <v>48.436110499999991</v>
      </c>
      <c r="J464" s="867"/>
      <c r="K464" s="868">
        <v>25</v>
      </c>
      <c r="L464" s="893" t="s">
        <v>888</v>
      </c>
      <c r="M464" s="893"/>
      <c r="N464" s="854"/>
      <c r="O464" s="853"/>
      <c r="P464" s="853"/>
      <c r="Q464" s="853"/>
      <c r="R464" s="853"/>
    </row>
    <row r="465" spans="1:18">
      <c r="A465" s="853"/>
      <c r="B465" s="860" t="s">
        <v>59</v>
      </c>
      <c r="C465" s="892">
        <v>80</v>
      </c>
      <c r="D465" s="888">
        <v>102.4</v>
      </c>
      <c r="E465" s="860">
        <v>0.7</v>
      </c>
      <c r="F465" s="860">
        <v>1.1499999999999999</v>
      </c>
      <c r="G465" s="860">
        <v>1.03</v>
      </c>
      <c r="H465" s="860">
        <v>2.59</v>
      </c>
      <c r="I465" s="866">
        <f t="shared" si="42"/>
        <v>87.572659999999999</v>
      </c>
      <c r="J465" s="867"/>
      <c r="K465" s="868">
        <v>25</v>
      </c>
      <c r="L465" s="893" t="s">
        <v>888</v>
      </c>
      <c r="M465" s="893"/>
      <c r="N465" s="854"/>
      <c r="O465" s="853"/>
      <c r="P465" s="853"/>
      <c r="Q465" s="853"/>
      <c r="R465" s="853"/>
    </row>
    <row r="466" spans="1:18">
      <c r="A466" s="853"/>
      <c r="B466" s="860" t="s">
        <v>60</v>
      </c>
      <c r="C466" s="892">
        <v>90</v>
      </c>
      <c r="D466" s="888">
        <v>143.85</v>
      </c>
      <c r="E466" s="860">
        <v>0.7</v>
      </c>
      <c r="F466" s="860">
        <v>1.1499999999999999</v>
      </c>
      <c r="G466" s="860">
        <v>1.03</v>
      </c>
      <c r="H466" s="860">
        <v>3.14</v>
      </c>
      <c r="I466" s="866">
        <f t="shared" si="42"/>
        <v>122.50742749999999</v>
      </c>
      <c r="J466" s="867"/>
      <c r="K466" s="868">
        <v>30</v>
      </c>
      <c r="L466" s="893" t="s">
        <v>888</v>
      </c>
      <c r="M466" s="893"/>
      <c r="N466" s="854"/>
      <c r="O466" s="853"/>
      <c r="P466" s="853"/>
      <c r="Q466" s="853"/>
      <c r="R466" s="853"/>
    </row>
    <row r="467" spans="1:18">
      <c r="A467" s="853"/>
      <c r="B467" s="860" t="s">
        <v>62</v>
      </c>
      <c r="C467" s="892">
        <v>120</v>
      </c>
      <c r="D467" s="888">
        <v>253.87</v>
      </c>
      <c r="E467" s="860">
        <v>0.7</v>
      </c>
      <c r="F467" s="860">
        <v>1.1499999999999999</v>
      </c>
      <c r="G467" s="860">
        <v>1.03</v>
      </c>
      <c r="H467" s="860">
        <v>3.86</v>
      </c>
      <c r="I467" s="866">
        <f t="shared" si="42"/>
        <v>214.47211049999999</v>
      </c>
      <c r="J467" s="867"/>
      <c r="K467" s="868">
        <v>30</v>
      </c>
      <c r="L467" s="893" t="s">
        <v>888</v>
      </c>
      <c r="M467" s="893"/>
      <c r="N467" s="854"/>
      <c r="O467" s="853"/>
      <c r="P467" s="853"/>
      <c r="Q467" s="853"/>
      <c r="R467" s="853"/>
    </row>
    <row r="468" spans="1:18">
      <c r="A468" s="853"/>
      <c r="B468" s="860" t="s">
        <v>63</v>
      </c>
      <c r="C468" s="892">
        <v>120</v>
      </c>
      <c r="D468" s="888">
        <v>274.13</v>
      </c>
      <c r="E468" s="860">
        <v>0.7</v>
      </c>
      <c r="F468" s="860">
        <v>1.1499999999999999</v>
      </c>
      <c r="G468" s="860">
        <v>1.03</v>
      </c>
      <c r="H468" s="860">
        <v>4.7699999999999996</v>
      </c>
      <c r="I468" s="866">
        <f t="shared" si="42"/>
        <v>232.2079895</v>
      </c>
      <c r="J468" s="867"/>
      <c r="K468" s="868">
        <v>35</v>
      </c>
      <c r="L468" s="893" t="s">
        <v>888</v>
      </c>
      <c r="M468" s="893"/>
      <c r="N468" s="854"/>
      <c r="O468" s="853"/>
      <c r="P468" s="853"/>
      <c r="Q468" s="853"/>
      <c r="R468" s="853"/>
    </row>
    <row r="469" spans="1:18">
      <c r="A469" s="853"/>
      <c r="B469" s="860" t="s">
        <v>66</v>
      </c>
      <c r="C469" s="892">
        <v>120</v>
      </c>
      <c r="D469" s="888">
        <v>331.81</v>
      </c>
      <c r="E469" s="860">
        <v>0.7</v>
      </c>
      <c r="F469" s="860">
        <v>1.1499999999999999</v>
      </c>
      <c r="G469" s="860">
        <v>1.03</v>
      </c>
      <c r="H469" s="860">
        <v>5.67</v>
      </c>
      <c r="I469" s="866">
        <f t="shared" si="42"/>
        <v>280.96036149999998</v>
      </c>
      <c r="J469" s="867"/>
      <c r="K469" s="868">
        <v>35</v>
      </c>
      <c r="L469" s="893" t="s">
        <v>888</v>
      </c>
      <c r="M469" s="893"/>
      <c r="N469" s="854"/>
      <c r="O469" s="853"/>
      <c r="P469" s="853"/>
      <c r="Q469" s="853"/>
      <c r="R469" s="853"/>
    </row>
    <row r="470" spans="1:18">
      <c r="A470" s="853"/>
      <c r="B470" s="860" t="s">
        <v>121</v>
      </c>
      <c r="C470" s="892">
        <v>120</v>
      </c>
      <c r="D470" s="888">
        <v>373.09</v>
      </c>
      <c r="E470" s="860">
        <v>0.7</v>
      </c>
      <c r="F470" s="860">
        <v>1.1499999999999999</v>
      </c>
      <c r="G470" s="860">
        <v>1.03</v>
      </c>
      <c r="H470" s="860">
        <v>7.48</v>
      </c>
      <c r="I470" s="866">
        <f t="shared" si="42"/>
        <v>317.05197349999997</v>
      </c>
      <c r="J470" s="867"/>
      <c r="K470" s="868">
        <v>35</v>
      </c>
      <c r="L470" s="893" t="s">
        <v>888</v>
      </c>
      <c r="M470" s="893"/>
      <c r="N470" s="854"/>
      <c r="O470" s="853"/>
      <c r="P470" s="853"/>
      <c r="Q470" s="853"/>
      <c r="R470" s="853"/>
    </row>
    <row r="471" spans="1:18">
      <c r="A471" s="853"/>
      <c r="B471" s="860" t="s">
        <v>122</v>
      </c>
      <c r="C471" s="892">
        <v>120</v>
      </c>
      <c r="D471" s="888">
        <v>402.42</v>
      </c>
      <c r="E471" s="860">
        <v>0.7</v>
      </c>
      <c r="F471" s="860">
        <v>1.1499999999999999</v>
      </c>
      <c r="G471" s="860">
        <v>1.03</v>
      </c>
      <c r="H471" s="860">
        <v>9.2899999999999991</v>
      </c>
      <c r="I471" s="866">
        <f t="shared" si="42"/>
        <v>343.23524300000003</v>
      </c>
      <c r="J471" s="867"/>
      <c r="K471" s="868">
        <v>35</v>
      </c>
      <c r="L471" s="893" t="s">
        <v>888</v>
      </c>
      <c r="M471" s="893"/>
      <c r="N471" s="854"/>
      <c r="O471" s="853"/>
      <c r="P471" s="853"/>
      <c r="Q471" s="853"/>
      <c r="R471" s="853"/>
    </row>
    <row r="472" spans="1:18">
      <c r="A472" s="853"/>
      <c r="B472" s="860" t="s">
        <v>156</v>
      </c>
      <c r="C472" s="892">
        <v>120</v>
      </c>
      <c r="D472" s="888">
        <v>537.37</v>
      </c>
      <c r="E472" s="860">
        <v>0.7</v>
      </c>
      <c r="F472" s="860">
        <v>1.1499999999999999</v>
      </c>
      <c r="G472" s="860">
        <v>1.03</v>
      </c>
      <c r="H472" s="860">
        <v>10.5</v>
      </c>
      <c r="I472" s="866">
        <f t="shared" si="42"/>
        <v>456.37533549999995</v>
      </c>
      <c r="J472" s="867"/>
      <c r="K472" s="868">
        <v>40</v>
      </c>
      <c r="L472" s="893" t="s">
        <v>888</v>
      </c>
      <c r="M472" s="893"/>
      <c r="N472" s="854"/>
      <c r="O472" s="853"/>
      <c r="P472" s="853"/>
      <c r="Q472" s="853"/>
      <c r="R472" s="853"/>
    </row>
    <row r="473" spans="1:18">
      <c r="A473" s="853"/>
      <c r="B473" s="860" t="s">
        <v>158</v>
      </c>
      <c r="C473" s="892">
        <v>120</v>
      </c>
      <c r="D473" s="888">
        <v>603.85</v>
      </c>
      <c r="E473" s="860">
        <v>0.7</v>
      </c>
      <c r="F473" s="860">
        <v>1.1499999999999999</v>
      </c>
      <c r="G473" s="860">
        <v>1.03</v>
      </c>
      <c r="H473" s="860">
        <v>12.5</v>
      </c>
      <c r="I473" s="866">
        <f t="shared" si="42"/>
        <v>513.55722749999995</v>
      </c>
      <c r="J473" s="867"/>
      <c r="K473" s="868">
        <v>40</v>
      </c>
      <c r="L473" s="893" t="s">
        <v>888</v>
      </c>
      <c r="M473" s="893"/>
      <c r="N473" s="854"/>
      <c r="O473" s="853"/>
      <c r="P473" s="853"/>
      <c r="Q473" s="853"/>
      <c r="R473" s="853"/>
    </row>
    <row r="474" spans="1:18">
      <c r="A474" s="853"/>
      <c r="B474" s="847"/>
      <c r="C474" s="854"/>
      <c r="D474" s="855"/>
      <c r="E474" s="853"/>
      <c r="F474" s="853"/>
      <c r="G474" s="853"/>
      <c r="H474" s="853"/>
      <c r="I474" s="856"/>
      <c r="J474" s="856"/>
      <c r="K474" s="851"/>
      <c r="L474" s="857"/>
      <c r="M474" s="857"/>
      <c r="N474" s="854"/>
      <c r="O474" s="853"/>
      <c r="P474" s="853"/>
      <c r="Q474" s="853"/>
      <c r="R474" s="853"/>
    </row>
    <row r="475" spans="1:18">
      <c r="A475" s="853"/>
      <c r="B475" s="847"/>
      <c r="C475" s="854"/>
      <c r="D475" s="855"/>
      <c r="E475" s="853"/>
      <c r="F475" s="853"/>
      <c r="G475" s="853"/>
      <c r="H475" s="853"/>
      <c r="I475" s="856"/>
      <c r="J475" s="856"/>
      <c r="K475" s="851"/>
      <c r="L475" s="857"/>
      <c r="M475" s="857"/>
      <c r="N475" s="854"/>
      <c r="O475" s="853"/>
      <c r="P475" s="853"/>
      <c r="Q475" s="853"/>
      <c r="R475" s="853"/>
    </row>
    <row r="476" spans="1:18">
      <c r="A476" s="853"/>
      <c r="B476" s="847" t="s">
        <v>805</v>
      </c>
      <c r="C476" s="848" t="s">
        <v>806</v>
      </c>
      <c r="D476" s="850" t="s">
        <v>866</v>
      </c>
      <c r="E476" s="853"/>
      <c r="F476" s="853"/>
      <c r="G476" s="853"/>
      <c r="H476" s="853"/>
      <c r="I476" s="856"/>
      <c r="J476" s="856"/>
      <c r="K476" s="854"/>
      <c r="L476" s="857"/>
      <c r="M476" s="857"/>
      <c r="N476" s="854"/>
      <c r="O476" s="853"/>
      <c r="P476" s="853"/>
      <c r="Q476" s="853"/>
      <c r="R476" s="853"/>
    </row>
    <row r="477" spans="1:18">
      <c r="A477" s="853"/>
      <c r="B477" s="860" t="s">
        <v>769</v>
      </c>
      <c r="C477" s="861" t="s">
        <v>770</v>
      </c>
      <c r="D477" s="888" t="s">
        <v>771</v>
      </c>
      <c r="E477" s="860" t="s">
        <v>613</v>
      </c>
      <c r="F477" s="860" t="s">
        <v>772</v>
      </c>
      <c r="G477" s="860" t="s">
        <v>773</v>
      </c>
      <c r="H477" s="860" t="s">
        <v>774</v>
      </c>
      <c r="I477" s="863" t="s">
        <v>771</v>
      </c>
      <c r="J477" s="889"/>
      <c r="K477" s="890" t="s">
        <v>775</v>
      </c>
      <c r="L477" s="857"/>
      <c r="M477" s="857"/>
      <c r="N477" s="854"/>
      <c r="O477" s="853"/>
      <c r="P477" s="853"/>
      <c r="Q477" s="853"/>
      <c r="R477" s="853"/>
    </row>
    <row r="478" spans="1:18">
      <c r="A478" s="853"/>
      <c r="B478" s="860" t="s">
        <v>47</v>
      </c>
      <c r="C478" s="861">
        <v>20</v>
      </c>
      <c r="D478" s="888">
        <v>10.46</v>
      </c>
      <c r="E478" s="860">
        <v>0.7</v>
      </c>
      <c r="F478" s="860">
        <v>1.1000000000000001</v>
      </c>
      <c r="G478" s="860">
        <v>1.03</v>
      </c>
      <c r="H478" s="860">
        <v>1.01</v>
      </c>
      <c r="I478" s="866">
        <f>(((D478*E478)*F478)+H478)*G478</f>
        <v>9.3361260000000019</v>
      </c>
      <c r="J478" s="867"/>
      <c r="K478" s="868">
        <v>21</v>
      </c>
      <c r="L478" s="857"/>
      <c r="M478" s="857"/>
      <c r="N478" s="854"/>
      <c r="O478" s="853"/>
      <c r="P478" s="853"/>
      <c r="Q478" s="853"/>
      <c r="R478" s="853"/>
    </row>
    <row r="479" spans="1:18">
      <c r="A479" s="853"/>
      <c r="B479" s="860" t="s">
        <v>49</v>
      </c>
      <c r="C479" s="861">
        <v>20</v>
      </c>
      <c r="D479" s="888">
        <v>11.42</v>
      </c>
      <c r="E479" s="860">
        <v>0.7</v>
      </c>
      <c r="F479" s="860">
        <v>1.1000000000000001</v>
      </c>
      <c r="G479" s="860">
        <v>1.03</v>
      </c>
      <c r="H479" s="860">
        <v>1.01</v>
      </c>
      <c r="I479" s="866">
        <f t="shared" ref="I479:I492" si="43">(((D479*E479)*F479)+H479)*G479</f>
        <v>10.097502</v>
      </c>
      <c r="J479" s="867"/>
      <c r="K479" s="868">
        <v>21</v>
      </c>
      <c r="L479" s="857"/>
      <c r="M479" s="857"/>
      <c r="N479" s="854"/>
      <c r="O479" s="853"/>
      <c r="P479" s="853"/>
      <c r="Q479" s="853"/>
      <c r="R479" s="853"/>
    </row>
    <row r="480" spans="1:18">
      <c r="A480" s="853"/>
      <c r="B480" s="860" t="s">
        <v>51</v>
      </c>
      <c r="C480" s="861">
        <v>30</v>
      </c>
      <c r="D480" s="888">
        <v>16.88</v>
      </c>
      <c r="E480" s="860">
        <v>0.7</v>
      </c>
      <c r="F480" s="860">
        <v>1.1000000000000001</v>
      </c>
      <c r="G480" s="860">
        <v>1.03</v>
      </c>
      <c r="H480" s="860">
        <v>1.4</v>
      </c>
      <c r="I480" s="866">
        <f t="shared" si="43"/>
        <v>14.829528000000002</v>
      </c>
      <c r="J480" s="867"/>
      <c r="K480" s="868">
        <v>21</v>
      </c>
      <c r="L480" s="857"/>
      <c r="M480" s="857"/>
      <c r="N480" s="854"/>
      <c r="O480" s="853"/>
      <c r="P480" s="853"/>
      <c r="Q480" s="853"/>
      <c r="R480" s="853"/>
    </row>
    <row r="481" spans="1:18">
      <c r="A481" s="853"/>
      <c r="B481" s="860" t="s">
        <v>53</v>
      </c>
      <c r="C481" s="861">
        <v>30</v>
      </c>
      <c r="D481" s="888">
        <v>18.77</v>
      </c>
      <c r="E481" s="860">
        <v>0.7</v>
      </c>
      <c r="F481" s="860">
        <v>1.1000000000000001</v>
      </c>
      <c r="G481" s="860">
        <v>1.03</v>
      </c>
      <c r="H481" s="860">
        <v>1.4</v>
      </c>
      <c r="I481" s="866">
        <f t="shared" si="43"/>
        <v>16.328486999999999</v>
      </c>
      <c r="J481" s="867"/>
      <c r="K481" s="868">
        <v>21</v>
      </c>
      <c r="L481" s="857"/>
      <c r="M481" s="857"/>
      <c r="N481" s="854"/>
      <c r="O481" s="853"/>
      <c r="P481" s="853"/>
      <c r="Q481" s="853"/>
      <c r="R481" s="853"/>
    </row>
    <row r="482" spans="1:18">
      <c r="A482" s="853"/>
      <c r="B482" s="860" t="s">
        <v>55</v>
      </c>
      <c r="C482" s="861">
        <v>40</v>
      </c>
      <c r="D482" s="888">
        <v>27.1</v>
      </c>
      <c r="E482" s="860">
        <v>0.7</v>
      </c>
      <c r="F482" s="860">
        <v>1.1000000000000001</v>
      </c>
      <c r="G482" s="860">
        <v>1.03</v>
      </c>
      <c r="H482" s="860">
        <v>1.69</v>
      </c>
      <c r="I482" s="866">
        <f t="shared" si="43"/>
        <v>23.233710000000002</v>
      </c>
      <c r="J482" s="867"/>
      <c r="K482" s="868">
        <v>21</v>
      </c>
      <c r="L482" s="857"/>
      <c r="M482" s="857"/>
      <c r="N482" s="854"/>
      <c r="O482" s="853"/>
      <c r="P482" s="853"/>
      <c r="Q482" s="853"/>
      <c r="R482" s="853"/>
    </row>
    <row r="483" spans="1:18">
      <c r="A483" s="853"/>
      <c r="B483" s="860" t="s">
        <v>57</v>
      </c>
      <c r="C483" s="861">
        <v>50</v>
      </c>
      <c r="D483" s="888">
        <v>40.159999999999997</v>
      </c>
      <c r="E483" s="860">
        <v>0.7</v>
      </c>
      <c r="F483" s="860">
        <v>1.1499999999999999</v>
      </c>
      <c r="G483" s="860">
        <v>1.03</v>
      </c>
      <c r="H483" s="860">
        <v>2.0499999999999998</v>
      </c>
      <c r="I483" s="866">
        <f t="shared" si="43"/>
        <v>35.410163999999995</v>
      </c>
      <c r="J483" s="867"/>
      <c r="K483" s="868">
        <v>21</v>
      </c>
      <c r="L483" s="857"/>
      <c r="M483" s="857"/>
      <c r="N483" s="854"/>
      <c r="O483" s="853"/>
      <c r="P483" s="853"/>
      <c r="Q483" s="853"/>
      <c r="R483" s="853"/>
    </row>
    <row r="484" spans="1:18">
      <c r="A484" s="853"/>
      <c r="B484" s="860" t="s">
        <v>59</v>
      </c>
      <c r="C484" s="861">
        <v>70</v>
      </c>
      <c r="D484" s="888">
        <v>85.54</v>
      </c>
      <c r="E484" s="860">
        <v>0.7</v>
      </c>
      <c r="F484" s="860">
        <v>1.1499999999999999</v>
      </c>
      <c r="G484" s="860">
        <v>1.03</v>
      </c>
      <c r="H484" s="860">
        <v>2.59</v>
      </c>
      <c r="I484" s="866">
        <f t="shared" si="43"/>
        <v>73.59319099999999</v>
      </c>
      <c r="J484" s="867"/>
      <c r="K484" s="868">
        <v>21</v>
      </c>
      <c r="L484" s="857"/>
      <c r="M484" s="857"/>
      <c r="N484" s="854"/>
      <c r="O484" s="853"/>
      <c r="P484" s="853"/>
      <c r="Q484" s="853"/>
      <c r="R484" s="853"/>
    </row>
    <row r="485" spans="1:18">
      <c r="A485" s="853"/>
      <c r="B485" s="860" t="s">
        <v>60</v>
      </c>
      <c r="C485" s="861">
        <v>80</v>
      </c>
      <c r="D485" s="888">
        <v>120.41</v>
      </c>
      <c r="E485" s="860">
        <v>0.7</v>
      </c>
      <c r="F485" s="860">
        <v>1.1499999999999999</v>
      </c>
      <c r="G485" s="860">
        <v>1.03</v>
      </c>
      <c r="H485" s="860">
        <v>3.14</v>
      </c>
      <c r="I485" s="866">
        <f t="shared" si="43"/>
        <v>103.07215149999999</v>
      </c>
      <c r="J485" s="867"/>
      <c r="K485" s="868">
        <v>26</v>
      </c>
      <c r="L485" s="857"/>
      <c r="M485" s="857"/>
      <c r="N485" s="854"/>
      <c r="O485" s="853"/>
      <c r="P485" s="853"/>
      <c r="Q485" s="853"/>
      <c r="R485" s="853"/>
    </row>
    <row r="486" spans="1:18">
      <c r="A486" s="853"/>
      <c r="B486" s="860" t="s">
        <v>62</v>
      </c>
      <c r="C486" s="861">
        <v>100</v>
      </c>
      <c r="D486" s="888">
        <v>167.87</v>
      </c>
      <c r="E486" s="860">
        <v>0.7</v>
      </c>
      <c r="F486" s="860">
        <v>1.1499999999999999</v>
      </c>
      <c r="G486" s="860">
        <v>1.03</v>
      </c>
      <c r="H486" s="860">
        <v>3.86</v>
      </c>
      <c r="I486" s="866">
        <f t="shared" si="43"/>
        <v>143.1652105</v>
      </c>
      <c r="J486" s="867"/>
      <c r="K486" s="868">
        <v>26</v>
      </c>
      <c r="L486" s="857"/>
      <c r="M486" s="857"/>
      <c r="N486" s="854"/>
      <c r="O486" s="853"/>
      <c r="P486" s="853"/>
      <c r="Q486" s="853"/>
      <c r="R486" s="853"/>
    </row>
    <row r="487" spans="1:18">
      <c r="A487" s="853"/>
      <c r="B487" s="860" t="s">
        <v>63</v>
      </c>
      <c r="C487" s="861">
        <v>100</v>
      </c>
      <c r="D487" s="888">
        <v>181.37</v>
      </c>
      <c r="E487" s="860">
        <v>0.7</v>
      </c>
      <c r="F487" s="860">
        <v>1.1499999999999999</v>
      </c>
      <c r="G487" s="860">
        <v>1.03</v>
      </c>
      <c r="H487" s="860">
        <v>4.7699999999999996</v>
      </c>
      <c r="I487" s="866">
        <f t="shared" si="43"/>
        <v>155.29603549999999</v>
      </c>
      <c r="J487" s="867"/>
      <c r="K487" s="868">
        <v>28</v>
      </c>
      <c r="L487" s="857"/>
      <c r="M487" s="857"/>
      <c r="N487" s="854"/>
      <c r="O487" s="853"/>
      <c r="P487" s="853"/>
      <c r="Q487" s="853"/>
      <c r="R487" s="853"/>
    </row>
    <row r="488" spans="1:18">
      <c r="A488" s="853"/>
      <c r="B488" s="860" t="s">
        <v>66</v>
      </c>
      <c r="C488" s="861">
        <v>100</v>
      </c>
      <c r="D488" s="888">
        <v>219.56</v>
      </c>
      <c r="E488" s="860">
        <v>0.7</v>
      </c>
      <c r="F488" s="860">
        <v>1.1499999999999999</v>
      </c>
      <c r="G488" s="860">
        <v>1.03</v>
      </c>
      <c r="H488" s="860">
        <v>5.67</v>
      </c>
      <c r="I488" s="866">
        <f t="shared" si="43"/>
        <v>187.88827399999997</v>
      </c>
      <c r="J488" s="867"/>
      <c r="K488" s="868">
        <v>28</v>
      </c>
      <c r="L488" s="857"/>
      <c r="M488" s="857"/>
      <c r="N488" s="854"/>
      <c r="O488" s="853"/>
      <c r="P488" s="853"/>
      <c r="Q488" s="853"/>
      <c r="R488" s="853"/>
    </row>
    <row r="489" spans="1:18">
      <c r="A489" s="853"/>
      <c r="B489" s="860" t="s">
        <v>121</v>
      </c>
      <c r="C489" s="861">
        <v>100</v>
      </c>
      <c r="D489" s="888">
        <v>279.25</v>
      </c>
      <c r="E489" s="860">
        <v>0.7</v>
      </c>
      <c r="F489" s="860">
        <v>1.1499999999999999</v>
      </c>
      <c r="G489" s="860">
        <v>1.03</v>
      </c>
      <c r="H489" s="860">
        <v>7.48</v>
      </c>
      <c r="I489" s="866">
        <f t="shared" si="43"/>
        <v>239.24453749999998</v>
      </c>
      <c r="J489" s="867"/>
      <c r="K489" s="868">
        <v>28</v>
      </c>
      <c r="L489" s="857"/>
      <c r="M489" s="857"/>
      <c r="N489" s="854"/>
      <c r="O489" s="853"/>
      <c r="P489" s="853"/>
      <c r="Q489" s="853"/>
      <c r="R489" s="853"/>
    </row>
    <row r="490" spans="1:18">
      <c r="A490" s="853"/>
      <c r="B490" s="860" t="s">
        <v>122</v>
      </c>
      <c r="C490" s="861">
        <v>100</v>
      </c>
      <c r="D490" s="888">
        <v>296.54000000000002</v>
      </c>
      <c r="E490" s="860">
        <v>0.7</v>
      </c>
      <c r="F490" s="860">
        <v>1.1499999999999999</v>
      </c>
      <c r="G490" s="860">
        <v>1.03</v>
      </c>
      <c r="H490" s="860">
        <v>9.2899999999999991</v>
      </c>
      <c r="I490" s="866">
        <f t="shared" si="43"/>
        <v>255.444841</v>
      </c>
      <c r="J490" s="867"/>
      <c r="K490" s="868">
        <v>28</v>
      </c>
      <c r="L490" s="857"/>
      <c r="M490" s="857"/>
      <c r="N490" s="854"/>
      <c r="O490" s="853"/>
      <c r="P490" s="853"/>
      <c r="Q490" s="853"/>
      <c r="R490" s="853"/>
    </row>
    <row r="491" spans="1:18">
      <c r="A491" s="853"/>
      <c r="B491" s="860" t="s">
        <v>156</v>
      </c>
      <c r="C491" s="861">
        <v>100</v>
      </c>
      <c r="D491" s="888">
        <v>386.19</v>
      </c>
      <c r="E491" s="860">
        <v>0.7</v>
      </c>
      <c r="F491" s="860">
        <v>1.1499999999999999</v>
      </c>
      <c r="G491" s="860">
        <v>1.03</v>
      </c>
      <c r="H491" s="860">
        <v>10.5</v>
      </c>
      <c r="I491" s="866">
        <f t="shared" si="43"/>
        <v>331.02443849999992</v>
      </c>
      <c r="J491" s="867"/>
      <c r="K491" s="868">
        <v>32</v>
      </c>
      <c r="L491" s="857"/>
      <c r="M491" s="857"/>
      <c r="N491" s="854"/>
      <c r="O491" s="853"/>
      <c r="P491" s="853"/>
      <c r="Q491" s="853"/>
      <c r="R491" s="853"/>
    </row>
    <row r="492" spans="1:18">
      <c r="A492" s="853"/>
      <c r="B492" s="860" t="s">
        <v>158</v>
      </c>
      <c r="C492" s="861">
        <v>100</v>
      </c>
      <c r="D492" s="888">
        <v>433.96</v>
      </c>
      <c r="E492" s="860">
        <v>0.7</v>
      </c>
      <c r="F492" s="860">
        <v>1.1499999999999999</v>
      </c>
      <c r="G492" s="860">
        <v>1.03</v>
      </c>
      <c r="H492" s="860">
        <v>12.5</v>
      </c>
      <c r="I492" s="866">
        <f t="shared" si="43"/>
        <v>372.69293399999998</v>
      </c>
      <c r="J492" s="867"/>
      <c r="K492" s="868">
        <v>32</v>
      </c>
      <c r="L492" s="857"/>
      <c r="M492" s="857"/>
      <c r="N492" s="854"/>
      <c r="O492" s="853"/>
      <c r="P492" s="853"/>
      <c r="Q492" s="853"/>
      <c r="R492" s="853"/>
    </row>
    <row r="493" spans="1:18">
      <c r="A493" s="853"/>
      <c r="B493" s="853"/>
      <c r="C493" s="854"/>
      <c r="D493" s="855"/>
      <c r="E493" s="853"/>
      <c r="F493" s="853"/>
      <c r="G493" s="853"/>
      <c r="H493" s="853"/>
      <c r="I493" s="856"/>
      <c r="J493" s="856"/>
      <c r="K493" s="851"/>
      <c r="L493" s="857"/>
      <c r="M493" s="857"/>
      <c r="N493" s="854"/>
      <c r="O493" s="853"/>
      <c r="P493" s="853"/>
      <c r="Q493" s="853"/>
      <c r="R493" s="853"/>
    </row>
    <row r="494" spans="1:18">
      <c r="A494" s="853"/>
      <c r="B494" s="847" t="s">
        <v>805</v>
      </c>
      <c r="C494" s="848" t="s">
        <v>806</v>
      </c>
      <c r="D494" s="885" t="s">
        <v>881</v>
      </c>
      <c r="E494" s="853"/>
      <c r="F494" s="853"/>
      <c r="G494" s="853"/>
      <c r="H494" s="853"/>
      <c r="I494" s="856"/>
      <c r="J494" s="856"/>
      <c r="K494" s="851"/>
      <c r="L494" s="857"/>
      <c r="M494" s="857"/>
      <c r="N494" s="854"/>
      <c r="O494" s="853"/>
      <c r="P494" s="853"/>
      <c r="Q494" s="853"/>
      <c r="R494" s="853"/>
    </row>
    <row r="495" spans="1:18">
      <c r="A495" s="853"/>
      <c r="B495" s="860" t="s">
        <v>769</v>
      </c>
      <c r="C495" s="861" t="s">
        <v>770</v>
      </c>
      <c r="D495" s="862" t="s">
        <v>771</v>
      </c>
      <c r="E495" s="860" t="s">
        <v>613</v>
      </c>
      <c r="F495" s="860" t="s">
        <v>772</v>
      </c>
      <c r="G495" s="860" t="s">
        <v>773</v>
      </c>
      <c r="H495" s="860" t="s">
        <v>774</v>
      </c>
      <c r="I495" s="863" t="s">
        <v>771</v>
      </c>
      <c r="J495" s="863"/>
      <c r="K495" s="864" t="s">
        <v>775</v>
      </c>
      <c r="L495" s="857"/>
      <c r="M495" s="857"/>
      <c r="N495" s="854"/>
      <c r="O495" s="853"/>
      <c r="P495" s="853"/>
      <c r="Q495" s="853"/>
      <c r="R495" s="853"/>
    </row>
    <row r="496" spans="1:18">
      <c r="A496" s="853"/>
      <c r="B496" s="860" t="s">
        <v>47</v>
      </c>
      <c r="C496" s="861">
        <v>25</v>
      </c>
      <c r="D496" s="862">
        <v>12.11</v>
      </c>
      <c r="E496" s="860">
        <v>0.7</v>
      </c>
      <c r="F496" s="860">
        <v>1.1000000000000001</v>
      </c>
      <c r="G496" s="860">
        <v>1.03</v>
      </c>
      <c r="H496" s="860">
        <v>1.01</v>
      </c>
      <c r="I496" s="866">
        <f t="shared" ref="I496:I510" si="44">ROUNDUP((((D496*E496)*F496)+H496)*G496,2)</f>
        <v>10.65</v>
      </c>
      <c r="J496" s="867"/>
      <c r="K496" s="868">
        <v>21</v>
      </c>
      <c r="L496" s="857"/>
      <c r="M496" s="857"/>
      <c r="N496" s="854"/>
      <c r="O496" s="853"/>
      <c r="P496" s="853"/>
      <c r="Q496" s="853"/>
      <c r="R496" s="853"/>
    </row>
    <row r="497" spans="1:19">
      <c r="A497" s="853"/>
      <c r="B497" s="860" t="s">
        <v>49</v>
      </c>
      <c r="C497" s="861">
        <v>25</v>
      </c>
      <c r="D497" s="862">
        <v>12.58</v>
      </c>
      <c r="E497" s="860">
        <v>0.7</v>
      </c>
      <c r="F497" s="860">
        <v>1.1000000000000001</v>
      </c>
      <c r="G497" s="860">
        <v>1.03</v>
      </c>
      <c r="H497" s="860">
        <v>1.01</v>
      </c>
      <c r="I497" s="866">
        <f t="shared" si="44"/>
        <v>11.02</v>
      </c>
      <c r="J497" s="867"/>
      <c r="K497" s="868">
        <v>21</v>
      </c>
      <c r="L497" s="857"/>
      <c r="M497" s="857"/>
      <c r="N497" s="854"/>
      <c r="O497" s="853"/>
      <c r="P497" s="853"/>
      <c r="Q497" s="853"/>
      <c r="R497" s="853"/>
    </row>
    <row r="498" spans="1:19">
      <c r="A498" s="853"/>
      <c r="B498" s="860" t="s">
        <v>51</v>
      </c>
      <c r="C498" s="861">
        <v>40</v>
      </c>
      <c r="D498" s="862">
        <v>21.23</v>
      </c>
      <c r="E498" s="860">
        <v>0.7</v>
      </c>
      <c r="F498" s="860">
        <v>1.1000000000000001</v>
      </c>
      <c r="G498" s="860">
        <v>1.03</v>
      </c>
      <c r="H498" s="860">
        <v>1.4</v>
      </c>
      <c r="I498" s="866">
        <f t="shared" si="44"/>
        <v>18.28</v>
      </c>
      <c r="J498" s="867"/>
      <c r="K498" s="868">
        <v>21</v>
      </c>
      <c r="L498" s="857"/>
      <c r="M498" s="857"/>
      <c r="N498" s="854"/>
      <c r="O498" s="853"/>
      <c r="P498" s="853"/>
      <c r="Q498" s="853"/>
      <c r="R498" s="853"/>
    </row>
    <row r="499" spans="1:19">
      <c r="A499" s="853"/>
      <c r="B499" s="860" t="s">
        <v>53</v>
      </c>
      <c r="C499" s="861">
        <v>40</v>
      </c>
      <c r="D499" s="862">
        <v>22.11</v>
      </c>
      <c r="E499" s="860">
        <v>0.7</v>
      </c>
      <c r="F499" s="860">
        <v>1.1000000000000001</v>
      </c>
      <c r="G499" s="860">
        <v>1.03</v>
      </c>
      <c r="H499" s="860">
        <v>1.4</v>
      </c>
      <c r="I499" s="866">
        <f t="shared" si="44"/>
        <v>18.98</v>
      </c>
      <c r="J499" s="867"/>
      <c r="K499" s="868">
        <v>21</v>
      </c>
      <c r="L499" s="857"/>
      <c r="M499" s="857"/>
      <c r="N499" s="854"/>
      <c r="O499" s="853"/>
      <c r="P499" s="853"/>
      <c r="Q499" s="853"/>
      <c r="R499" s="853"/>
    </row>
    <row r="500" spans="1:19">
      <c r="A500" s="853"/>
      <c r="B500" s="860" t="s">
        <v>55</v>
      </c>
      <c r="C500" s="861">
        <v>50</v>
      </c>
      <c r="D500" s="862">
        <v>30.1</v>
      </c>
      <c r="E500" s="860">
        <v>0.7</v>
      </c>
      <c r="F500" s="860">
        <v>1.1000000000000001</v>
      </c>
      <c r="G500" s="860">
        <v>1.03</v>
      </c>
      <c r="H500" s="860">
        <v>1.69</v>
      </c>
      <c r="I500" s="866">
        <f t="shared" si="44"/>
        <v>25.62</v>
      </c>
      <c r="J500" s="867"/>
      <c r="K500" s="868">
        <v>21</v>
      </c>
      <c r="L500" s="857"/>
      <c r="M500" s="857"/>
      <c r="N500" s="854"/>
      <c r="O500" s="853"/>
      <c r="P500" s="853"/>
      <c r="Q500" s="853"/>
      <c r="R500" s="853"/>
    </row>
    <row r="501" spans="1:19">
      <c r="A501" s="853"/>
      <c r="B501" s="860" t="s">
        <v>57</v>
      </c>
      <c r="C501" s="861">
        <v>60</v>
      </c>
      <c r="D501" s="862">
        <v>43.19</v>
      </c>
      <c r="E501" s="860">
        <v>0.7</v>
      </c>
      <c r="F501" s="860">
        <v>1.1499999999999999</v>
      </c>
      <c r="G501" s="860">
        <v>1.03</v>
      </c>
      <c r="H501" s="860">
        <v>2.0499999999999998</v>
      </c>
      <c r="I501" s="866">
        <f t="shared" si="44"/>
        <v>37.93</v>
      </c>
      <c r="J501" s="867"/>
      <c r="K501" s="868">
        <v>21</v>
      </c>
      <c r="L501" s="857"/>
      <c r="M501" s="857"/>
      <c r="N501" s="854"/>
      <c r="O501" s="853"/>
      <c r="P501" s="853"/>
      <c r="Q501" s="853"/>
      <c r="R501" s="853"/>
    </row>
    <row r="502" spans="1:19">
      <c r="A502" s="853"/>
      <c r="B502" s="860" t="s">
        <v>59</v>
      </c>
      <c r="C502" s="861">
        <v>80</v>
      </c>
      <c r="D502" s="862">
        <v>75.930000000000007</v>
      </c>
      <c r="E502" s="860">
        <v>0.7</v>
      </c>
      <c r="F502" s="860">
        <v>1.1499999999999999</v>
      </c>
      <c r="G502" s="860">
        <v>1.03</v>
      </c>
      <c r="H502" s="860">
        <v>2.59</v>
      </c>
      <c r="I502" s="866">
        <f t="shared" si="44"/>
        <v>65.63000000000001</v>
      </c>
      <c r="J502" s="867"/>
      <c r="K502" s="868">
        <v>21</v>
      </c>
      <c r="L502" s="857"/>
      <c r="M502" s="857"/>
      <c r="N502" s="854"/>
      <c r="O502" s="853"/>
      <c r="P502" s="853"/>
      <c r="Q502" s="853"/>
      <c r="R502" s="853"/>
    </row>
    <row r="503" spans="1:19">
      <c r="A503" s="853"/>
      <c r="B503" s="860" t="s">
        <v>60</v>
      </c>
      <c r="C503" s="861">
        <v>90</v>
      </c>
      <c r="D503" s="862">
        <v>106.66</v>
      </c>
      <c r="E503" s="860">
        <v>0.7</v>
      </c>
      <c r="F503" s="860">
        <v>1.1499999999999999</v>
      </c>
      <c r="G503" s="860">
        <v>1.03</v>
      </c>
      <c r="H503" s="860">
        <v>3.14</v>
      </c>
      <c r="I503" s="866">
        <f t="shared" si="44"/>
        <v>91.68</v>
      </c>
      <c r="J503" s="867"/>
      <c r="K503" s="868">
        <v>26</v>
      </c>
      <c r="L503" s="857"/>
      <c r="M503" s="857"/>
      <c r="N503" s="854"/>
      <c r="O503" s="853"/>
      <c r="P503" s="853"/>
      <c r="Q503" s="853"/>
      <c r="R503" s="853"/>
    </row>
    <row r="504" spans="1:19">
      <c r="A504" s="853"/>
      <c r="B504" s="860" t="s">
        <v>62</v>
      </c>
      <c r="C504" s="861">
        <v>110</v>
      </c>
      <c r="D504" s="862">
        <v>159.19999999999999</v>
      </c>
      <c r="E504" s="860">
        <v>0.7</v>
      </c>
      <c r="F504" s="860">
        <v>1.1499999999999999</v>
      </c>
      <c r="G504" s="860">
        <v>1.03</v>
      </c>
      <c r="H504" s="860">
        <v>3.86</v>
      </c>
      <c r="I504" s="866">
        <f t="shared" si="44"/>
        <v>135.97999999999999</v>
      </c>
      <c r="J504" s="867"/>
      <c r="K504" s="868">
        <v>26</v>
      </c>
      <c r="L504" s="857"/>
      <c r="M504" s="857"/>
      <c r="N504" s="854"/>
      <c r="O504" s="853"/>
      <c r="P504" s="853"/>
      <c r="Q504" s="853"/>
      <c r="R504" s="853"/>
    </row>
    <row r="505" spans="1:19">
      <c r="A505" s="853"/>
      <c r="B505" s="860" t="s">
        <v>63</v>
      </c>
      <c r="C505" s="861">
        <v>110</v>
      </c>
      <c r="D505" s="862">
        <v>202.27</v>
      </c>
      <c r="E505" s="860">
        <v>0.7</v>
      </c>
      <c r="F505" s="860">
        <v>1.1499999999999999</v>
      </c>
      <c r="G505" s="860">
        <v>1.03</v>
      </c>
      <c r="H505" s="860">
        <v>4.7699999999999996</v>
      </c>
      <c r="I505" s="866">
        <f t="shared" si="44"/>
        <v>172.63</v>
      </c>
      <c r="J505" s="867"/>
      <c r="K505" s="868">
        <v>28</v>
      </c>
      <c r="L505" s="857"/>
      <c r="M505" s="857"/>
      <c r="N505" s="854"/>
      <c r="O505" s="853"/>
      <c r="P505" s="853"/>
      <c r="Q505" s="853"/>
      <c r="R505" s="853"/>
    </row>
    <row r="506" spans="1:19">
      <c r="A506" s="853"/>
      <c r="B506" s="860" t="s">
        <v>66</v>
      </c>
      <c r="C506" s="861">
        <v>110</v>
      </c>
      <c r="D506" s="862">
        <v>211.91</v>
      </c>
      <c r="E506" s="860">
        <v>0.7</v>
      </c>
      <c r="F506" s="860">
        <v>1.1499999999999999</v>
      </c>
      <c r="G506" s="860">
        <v>1.03</v>
      </c>
      <c r="H506" s="860">
        <v>5.67</v>
      </c>
      <c r="I506" s="866">
        <f t="shared" si="44"/>
        <v>181.54999999999998</v>
      </c>
      <c r="J506" s="867"/>
      <c r="K506" s="868">
        <v>28</v>
      </c>
      <c r="L506" s="857"/>
      <c r="M506" s="857"/>
      <c r="N506" s="854"/>
      <c r="O506" s="853"/>
      <c r="P506" s="853"/>
      <c r="Q506" s="853"/>
      <c r="R506" s="853"/>
    </row>
    <row r="507" spans="1:19">
      <c r="A507" s="853"/>
      <c r="B507" s="860" t="s">
        <v>121</v>
      </c>
      <c r="C507" s="861">
        <v>110</v>
      </c>
      <c r="D507" s="862">
        <v>249.37</v>
      </c>
      <c r="E507" s="860">
        <v>0.7</v>
      </c>
      <c r="F507" s="860">
        <v>1.1499999999999999</v>
      </c>
      <c r="G507" s="860">
        <v>1.03</v>
      </c>
      <c r="H507" s="860">
        <v>7.48</v>
      </c>
      <c r="I507" s="866">
        <f t="shared" si="44"/>
        <v>214.47</v>
      </c>
      <c r="J507" s="867"/>
      <c r="K507" s="868">
        <v>28</v>
      </c>
      <c r="L507" s="857"/>
      <c r="M507" s="857"/>
      <c r="N507" s="854"/>
      <c r="O507" s="853"/>
      <c r="P507" s="853"/>
      <c r="Q507" s="853"/>
      <c r="R507" s="853"/>
    </row>
    <row r="508" spans="1:19">
      <c r="A508" s="853"/>
      <c r="B508" s="860" t="s">
        <v>122</v>
      </c>
      <c r="C508" s="861">
        <v>110</v>
      </c>
      <c r="D508" s="862">
        <v>259.77</v>
      </c>
      <c r="E508" s="860">
        <v>0.7</v>
      </c>
      <c r="F508" s="860">
        <v>1.1499999999999999</v>
      </c>
      <c r="G508" s="860">
        <v>1.03</v>
      </c>
      <c r="H508" s="860">
        <v>9.2899999999999991</v>
      </c>
      <c r="I508" s="866">
        <f t="shared" si="44"/>
        <v>224.95999999999998</v>
      </c>
      <c r="J508" s="867"/>
      <c r="K508" s="868">
        <v>28</v>
      </c>
      <c r="L508" s="857"/>
      <c r="M508" s="857"/>
      <c r="N508" s="854"/>
      <c r="O508" s="853"/>
      <c r="P508" s="853"/>
      <c r="Q508" s="853"/>
      <c r="R508" s="853"/>
    </row>
    <row r="509" spans="1:19">
      <c r="A509" s="853"/>
      <c r="B509" s="860" t="s">
        <v>156</v>
      </c>
      <c r="C509" s="861">
        <v>110</v>
      </c>
      <c r="D509" s="862">
        <v>346.48</v>
      </c>
      <c r="E509" s="860">
        <v>0.7</v>
      </c>
      <c r="F509" s="860">
        <v>1.1499999999999999</v>
      </c>
      <c r="G509" s="860">
        <v>1.03</v>
      </c>
      <c r="H509" s="860">
        <v>10.5</v>
      </c>
      <c r="I509" s="866">
        <f t="shared" si="44"/>
        <v>298.09999999999997</v>
      </c>
      <c r="J509" s="867"/>
      <c r="K509" s="868">
        <v>32</v>
      </c>
      <c r="L509" s="857"/>
      <c r="M509" s="857"/>
      <c r="N509" s="854"/>
      <c r="O509" s="853"/>
      <c r="P509" s="853"/>
      <c r="Q509" s="853"/>
      <c r="R509" s="853"/>
    </row>
    <row r="510" spans="1:19">
      <c r="A510" s="853"/>
      <c r="B510" s="860" t="s">
        <v>158</v>
      </c>
      <c r="C510" s="861">
        <v>110</v>
      </c>
      <c r="D510" s="862">
        <v>414.36</v>
      </c>
      <c r="E510" s="860">
        <v>0.7</v>
      </c>
      <c r="F510" s="860">
        <v>1.1499999999999999</v>
      </c>
      <c r="G510" s="860">
        <v>1.03</v>
      </c>
      <c r="H510" s="860">
        <v>12.5</v>
      </c>
      <c r="I510" s="866">
        <f t="shared" si="44"/>
        <v>356.45</v>
      </c>
      <c r="J510" s="875"/>
      <c r="K510" s="868">
        <v>32</v>
      </c>
      <c r="L510" s="857"/>
      <c r="M510" s="857"/>
      <c r="N510" s="854"/>
      <c r="O510" s="853"/>
      <c r="P510" s="853"/>
      <c r="Q510" s="853"/>
      <c r="R510" s="853"/>
    </row>
    <row r="511" spans="1:19">
      <c r="A511" s="853"/>
      <c r="B511" s="853"/>
      <c r="C511" s="854"/>
      <c r="D511" s="855"/>
      <c r="E511" s="853"/>
      <c r="F511" s="853"/>
      <c r="G511" s="853"/>
      <c r="H511" s="853"/>
      <c r="I511" s="856"/>
      <c r="J511" s="856"/>
      <c r="K511" s="851"/>
      <c r="L511" s="857"/>
      <c r="M511" s="857"/>
      <c r="N511" s="854"/>
      <c r="O511" s="853"/>
      <c r="P511" s="853"/>
      <c r="Q511" s="853"/>
      <c r="R511" s="853"/>
    </row>
    <row r="512" spans="1:19" ht="30">
      <c r="B512" s="131" t="s">
        <v>799</v>
      </c>
      <c r="C512" s="210" t="s">
        <v>893</v>
      </c>
      <c r="D512" s="211" t="s">
        <v>768</v>
      </c>
      <c r="E512" s="212"/>
      <c r="F512" s="169"/>
      <c r="G512" s="169"/>
      <c r="H512" s="169"/>
      <c r="I512" s="170"/>
      <c r="J512" s="170"/>
      <c r="K512" s="190"/>
      <c r="L512" s="180"/>
      <c r="M512" s="180"/>
      <c r="N512" s="136"/>
      <c r="P512" s="28"/>
      <c r="Q512" s="213"/>
      <c r="R512" s="214"/>
      <c r="S512" s="18"/>
    </row>
    <row r="513" spans="2:20">
      <c r="B513" s="11" t="s">
        <v>769</v>
      </c>
      <c r="C513" s="143" t="s">
        <v>770</v>
      </c>
      <c r="D513" s="174" t="s">
        <v>771</v>
      </c>
      <c r="E513" s="11" t="s">
        <v>613</v>
      </c>
      <c r="F513" s="11" t="s">
        <v>772</v>
      </c>
      <c r="G513" s="11" t="s">
        <v>773</v>
      </c>
      <c r="H513" s="11" t="s">
        <v>774</v>
      </c>
      <c r="I513" s="147" t="s">
        <v>771</v>
      </c>
      <c r="J513" s="147"/>
      <c r="K513" s="191" t="s">
        <v>775</v>
      </c>
      <c r="L513" s="180"/>
      <c r="M513" s="180"/>
      <c r="N513" s="136"/>
      <c r="Q513" s="136"/>
      <c r="R513" s="178"/>
    </row>
    <row r="514" spans="2:20">
      <c r="B514" s="11" t="s">
        <v>47</v>
      </c>
      <c r="C514" s="143">
        <v>20</v>
      </c>
      <c r="D514" s="174">
        <v>9.7200000000000006</v>
      </c>
      <c r="E514" s="215">
        <f>1-0.35</f>
        <v>0.65</v>
      </c>
      <c r="F514" s="11">
        <v>1.1000000000000001</v>
      </c>
      <c r="G514" s="11">
        <v>1.03</v>
      </c>
      <c r="H514" s="11">
        <v>1.01</v>
      </c>
      <c r="I514" s="144">
        <f>(((D514*E514)*F514)+H514)*G514</f>
        <v>8.1985940000000017</v>
      </c>
      <c r="J514" s="173"/>
      <c r="K514" s="197">
        <v>25</v>
      </c>
      <c r="L514" s="180"/>
      <c r="M514" s="180"/>
      <c r="N514" s="145"/>
      <c r="Q514" s="136"/>
      <c r="R514" s="178"/>
      <c r="S514" s="216"/>
    </row>
    <row r="515" spans="2:20">
      <c r="B515" s="11" t="s">
        <v>49</v>
      </c>
      <c r="C515" s="143">
        <v>20</v>
      </c>
      <c r="D515" s="174">
        <v>10.68</v>
      </c>
      <c r="E515" s="215">
        <f t="shared" ref="E515:E522" si="45">1-0.35</f>
        <v>0.65</v>
      </c>
      <c r="F515" s="11">
        <v>1.1000000000000001</v>
      </c>
      <c r="G515" s="11">
        <v>1.03</v>
      </c>
      <c r="H515" s="11">
        <v>1.01</v>
      </c>
      <c r="I515" s="144">
        <f t="shared" ref="I515:I522" si="46">(((D515*E515)*F515)+H515)*G515</f>
        <v>8.9055860000000013</v>
      </c>
      <c r="J515" s="173"/>
      <c r="K515" s="197">
        <v>25</v>
      </c>
      <c r="L515" s="180"/>
      <c r="M515" s="180"/>
      <c r="N515" s="145"/>
      <c r="Q515" s="136"/>
      <c r="R515" s="178"/>
      <c r="S515" s="216"/>
    </row>
    <row r="516" spans="2:20">
      <c r="B516" s="11" t="s">
        <v>51</v>
      </c>
      <c r="C516" s="143">
        <v>30</v>
      </c>
      <c r="D516" s="174">
        <v>19.920000000000002</v>
      </c>
      <c r="E516" s="215">
        <f t="shared" si="45"/>
        <v>0.65</v>
      </c>
      <c r="F516" s="11">
        <v>1.1000000000000001</v>
      </c>
      <c r="G516" s="11">
        <v>1.03</v>
      </c>
      <c r="H516" s="11">
        <v>1.4</v>
      </c>
      <c r="I516" s="144">
        <f t="shared" si="46"/>
        <v>16.112084000000007</v>
      </c>
      <c r="J516" s="173"/>
      <c r="K516" s="197">
        <v>25</v>
      </c>
      <c r="L516" s="180"/>
      <c r="M516" s="180"/>
      <c r="N516" s="145"/>
      <c r="Q516" s="136"/>
      <c r="R516" s="178"/>
      <c r="S516" s="216"/>
    </row>
    <row r="517" spans="2:20">
      <c r="B517" s="11" t="s">
        <v>53</v>
      </c>
      <c r="C517" s="143">
        <v>30</v>
      </c>
      <c r="D517" s="174">
        <v>24.34</v>
      </c>
      <c r="E517" s="215">
        <f t="shared" si="45"/>
        <v>0.65</v>
      </c>
      <c r="F517" s="11">
        <v>1.1000000000000001</v>
      </c>
      <c r="G517" s="11">
        <v>1.03</v>
      </c>
      <c r="H517" s="11">
        <v>1.4</v>
      </c>
      <c r="I517" s="144">
        <f t="shared" si="46"/>
        <v>19.367193</v>
      </c>
      <c r="J517" s="173"/>
      <c r="K517" s="197">
        <v>25</v>
      </c>
      <c r="L517" s="180"/>
      <c r="M517" s="180"/>
      <c r="N517" s="145"/>
      <c r="Q517" s="136"/>
      <c r="R517" s="178"/>
      <c r="S517" s="216"/>
    </row>
    <row r="518" spans="2:20">
      <c r="B518" s="11" t="s">
        <v>55</v>
      </c>
      <c r="C518" s="143">
        <v>40</v>
      </c>
      <c r="D518" s="174">
        <f>26.51+((48.3+2*40)/1000)*3.14*71.97</f>
        <v>55.503978140000008</v>
      </c>
      <c r="E518" s="215">
        <f t="shared" si="45"/>
        <v>0.65</v>
      </c>
      <c r="F518" s="11">
        <v>1.1000000000000001</v>
      </c>
      <c r="G518" s="11">
        <v>1.03</v>
      </c>
      <c r="H518" s="11">
        <v>1.69</v>
      </c>
      <c r="I518" s="144">
        <f t="shared" si="46"/>
        <v>42.616604701203002</v>
      </c>
      <c r="J518" s="173"/>
      <c r="K518" s="197">
        <f>25+((48.3+2*40)/1000)*3.14*43</f>
        <v>42.323066000000004</v>
      </c>
      <c r="L518" s="180"/>
      <c r="M518" s="180"/>
      <c r="N518" s="145"/>
      <c r="Q518" s="136"/>
      <c r="R518" s="178"/>
      <c r="S518" s="216"/>
    </row>
    <row r="519" spans="2:20">
      <c r="B519" s="11" t="s">
        <v>57</v>
      </c>
      <c r="C519" s="143">
        <v>50</v>
      </c>
      <c r="D519" s="174">
        <f>40.25+((60.3+2*40)/1000)*3.14*71.97+((60.3+2*50)/1000)*3.14*71.97</f>
        <v>108.18133148000001</v>
      </c>
      <c r="E519" s="215">
        <f t="shared" si="45"/>
        <v>0.65</v>
      </c>
      <c r="F519" s="11">
        <v>1.1499999999999999</v>
      </c>
      <c r="G519" s="11">
        <v>1.03</v>
      </c>
      <c r="H519" s="11">
        <v>2.0499999999999998</v>
      </c>
      <c r="I519" s="144">
        <f t="shared" si="46"/>
        <v>85.40301163973902</v>
      </c>
      <c r="J519" s="173"/>
      <c r="K519" s="197">
        <f>25+((60.3+2*40)/1000)*3.14*43+((60.3+2*50)/1000)*3.14*43</f>
        <v>65.587012000000016</v>
      </c>
      <c r="L519" s="180"/>
      <c r="M519" s="180"/>
      <c r="N519" s="145"/>
      <c r="Q519" s="136"/>
      <c r="R519" s="178"/>
      <c r="S519" s="216"/>
    </row>
    <row r="520" spans="2:20">
      <c r="B520" s="11" t="s">
        <v>59</v>
      </c>
      <c r="C520" s="143">
        <v>70</v>
      </c>
      <c r="D520" s="217">
        <f>57.93+((76.1+2*40)/1000)*3.14*71.97+((76.1+2*50)/1000)*3.14*71.97+((76.1+2*60)/1000)*3.14*71.97+((76.1+2*70)/1000)*3.14*71.97</f>
        <v>226.15382952000002</v>
      </c>
      <c r="E520" s="215">
        <f t="shared" si="45"/>
        <v>0.65</v>
      </c>
      <c r="F520" s="11">
        <v>1.1499999999999999</v>
      </c>
      <c r="G520" s="11">
        <v>1.03</v>
      </c>
      <c r="H520" s="11">
        <v>2.59</v>
      </c>
      <c r="I520" s="144">
        <f t="shared" si="46"/>
        <v>176.78918719318605</v>
      </c>
      <c r="J520" s="173"/>
      <c r="K520" s="197">
        <f>25+((76.1+2*40)/1000)*3.14*43+((76.1+2*50)/1000)*3.14*43+((76.1+2*60)/1000)*3.14*43+((76.1+2*70)/1000)*3.14*43</f>
        <v>125.50888800000001</v>
      </c>
      <c r="L520" s="180"/>
      <c r="M520" s="180"/>
      <c r="N520" s="145"/>
      <c r="Q520" s="136"/>
      <c r="R520" s="218"/>
      <c r="S520" s="216"/>
    </row>
    <row r="521" spans="2:20">
      <c r="B521" s="11" t="s">
        <v>60</v>
      </c>
      <c r="C521" s="143">
        <v>80</v>
      </c>
      <c r="D521" s="217">
        <f>78.07+((88.9+2*40)/1000)*3.14*71.97+((88.9+2*50)/1000)*3.14*71.97+((88.9+2*60)/1000)*3.14*71.97+((88.9+2*70)/1000)*3.14*71.97+((88.9+2*80)/1000)*3.14*71.97</f>
        <v>314.11216810000002</v>
      </c>
      <c r="E521" s="215">
        <f t="shared" si="45"/>
        <v>0.65</v>
      </c>
      <c r="F521" s="11">
        <v>1.1499999999999999</v>
      </c>
      <c r="G521" s="11">
        <v>1.03</v>
      </c>
      <c r="H521" s="11">
        <v>3.14</v>
      </c>
      <c r="I521" s="144">
        <f t="shared" si="46"/>
        <v>245.0770110243925</v>
      </c>
      <c r="J521" s="173"/>
      <c r="K521" s="197">
        <f>30+((88.9+2*40)/1000)*3.14*43+((88.9+2*50)/1000)*3.14*43+((88.9+2*60)/1000)*3.14*43+((88.9+2*70)/1000)*3.14*43+((88.9+2*80)/1000)*3.14*43</f>
        <v>171.02839000000003</v>
      </c>
      <c r="L521" s="180"/>
      <c r="M521" s="180"/>
      <c r="N521" s="145"/>
      <c r="Q521" s="136"/>
      <c r="R521" s="218"/>
      <c r="S521" s="216"/>
    </row>
    <row r="522" spans="2:20">
      <c r="B522" s="11" t="s">
        <v>62</v>
      </c>
      <c r="C522" s="143">
        <v>100</v>
      </c>
      <c r="D522" s="217">
        <f>100.73+((114.3+2*40)/1000)*3.14*71.97+((114.3+2*50)/1000)*3.14*71.97+((114.3+2*60)/1000)*3.14*71.97+((114.3+2*70)/1000)*3.14*71.97+((114.3+2*80)/1000)*3.14*71.97+((114.3+2*90)/1000)*3.14*71.97+((114.3+2*100)/1000)*3.14*71.97</f>
        <v>503.00732257999999</v>
      </c>
      <c r="E522" s="215">
        <f t="shared" si="45"/>
        <v>0.65</v>
      </c>
      <c r="F522" s="11">
        <v>1.1499999999999999</v>
      </c>
      <c r="G522" s="11">
        <v>1.03</v>
      </c>
      <c r="H522" s="11">
        <v>3.86</v>
      </c>
      <c r="I522" s="144">
        <f t="shared" si="46"/>
        <v>391.25371283740657</v>
      </c>
      <c r="J522" s="173"/>
      <c r="K522" s="197">
        <f>30+((114.3+2*40)/1000)*3.14*43+((114.3+2*50)/1000)*3.14*43+((114.3+2*60)/1000)*3.14*43+((114.3+2*70)/1000)*3.14*43+((114.3+2*80)/1000)*3.14*43+((114.3+2*90)/1000)*3.14*43+((114.3+2*100)/1000)*3.14*43</f>
        <v>270.34910200000002</v>
      </c>
      <c r="L522" s="180"/>
      <c r="M522" s="180"/>
      <c r="N522" s="145"/>
      <c r="Q522" s="136"/>
      <c r="R522" s="219"/>
      <c r="S522" s="216"/>
    </row>
    <row r="523" spans="2:20">
      <c r="C523" s="136"/>
      <c r="D523" s="178"/>
      <c r="I523" s="138"/>
      <c r="J523" s="138"/>
      <c r="K523" s="179"/>
      <c r="L523" s="180"/>
      <c r="M523" s="180"/>
      <c r="N523" s="136"/>
    </row>
    <row r="524" spans="2:20" ht="45">
      <c r="B524" s="28" t="s">
        <v>799</v>
      </c>
      <c r="C524" s="213" t="s">
        <v>893</v>
      </c>
      <c r="D524" s="214">
        <v>45413</v>
      </c>
      <c r="E524" s="18" t="s">
        <v>894</v>
      </c>
      <c r="I524" s="138"/>
      <c r="J524" s="138"/>
      <c r="K524" s="179"/>
      <c r="L524" s="180"/>
      <c r="M524" s="180"/>
      <c r="N524" s="136"/>
      <c r="P524" s="28" t="s">
        <v>799</v>
      </c>
      <c r="Q524" s="213" t="s">
        <v>895</v>
      </c>
      <c r="R524" s="214">
        <v>45597</v>
      </c>
      <c r="S524" s="18"/>
    </row>
    <row r="525" spans="2:20">
      <c r="B525" s="11" t="s">
        <v>769</v>
      </c>
      <c r="C525" s="143" t="s">
        <v>770</v>
      </c>
      <c r="D525" s="174" t="s">
        <v>771</v>
      </c>
      <c r="E525" s="11" t="s">
        <v>613</v>
      </c>
      <c r="F525" s="11" t="s">
        <v>772</v>
      </c>
      <c r="G525" s="11" t="s">
        <v>773</v>
      </c>
      <c r="H525" s="11" t="s">
        <v>774</v>
      </c>
      <c r="I525" s="147" t="s">
        <v>771</v>
      </c>
      <c r="J525" s="147"/>
      <c r="K525" s="191" t="s">
        <v>775</v>
      </c>
      <c r="L525" s="180"/>
      <c r="M525" s="180"/>
      <c r="N525" s="136"/>
      <c r="P525" s="11" t="s">
        <v>769</v>
      </c>
      <c r="Q525" s="143" t="s">
        <v>770</v>
      </c>
      <c r="R525" s="174" t="s">
        <v>771</v>
      </c>
      <c r="S525" s="11" t="s">
        <v>613</v>
      </c>
      <c r="T525" s="11" t="s">
        <v>772</v>
      </c>
    </row>
    <row r="526" spans="2:20">
      <c r="B526" s="11" t="s">
        <v>47</v>
      </c>
      <c r="C526" s="143">
        <v>20</v>
      </c>
      <c r="D526" s="174">
        <v>10.08</v>
      </c>
      <c r="E526" s="215">
        <v>0.8</v>
      </c>
      <c r="F526" s="11">
        <v>1.1000000000000001</v>
      </c>
      <c r="G526" s="11">
        <v>1.03</v>
      </c>
      <c r="H526" s="11">
        <v>1.01</v>
      </c>
      <c r="I526" s="144">
        <f>(((D526*E526)*F526)+H526)*G526</f>
        <v>10.176812</v>
      </c>
      <c r="J526" s="173"/>
      <c r="K526" s="197">
        <v>25</v>
      </c>
      <c r="L526" s="180"/>
      <c r="M526" s="180"/>
      <c r="N526" s="145">
        <f>ROUNDUP(I526,2)</f>
        <v>10.18</v>
      </c>
      <c r="P526" s="11" t="s">
        <v>47</v>
      </c>
      <c r="Q526" s="143">
        <v>20</v>
      </c>
      <c r="R526" s="174">
        <v>10.79</v>
      </c>
      <c r="S526" s="215">
        <v>0.6</v>
      </c>
      <c r="T526" s="11">
        <v>1.1000000000000001</v>
      </c>
    </row>
    <row r="527" spans="2:20">
      <c r="B527" s="11" t="s">
        <v>49</v>
      </c>
      <c r="C527" s="143">
        <v>20</v>
      </c>
      <c r="D527" s="174">
        <v>11.39</v>
      </c>
      <c r="E527" s="215">
        <v>0.8</v>
      </c>
      <c r="F527" s="11">
        <v>1.1000000000000001</v>
      </c>
      <c r="G527" s="11">
        <v>1.03</v>
      </c>
      <c r="H527" s="11">
        <v>1.01</v>
      </c>
      <c r="I527" s="144">
        <f t="shared" ref="I527:I540" si="47">(((D527*E527)*F527)+H527)*G527</f>
        <v>11.364196000000002</v>
      </c>
      <c r="J527" s="173"/>
      <c r="K527" s="197">
        <v>25</v>
      </c>
      <c r="L527" s="180"/>
      <c r="M527" s="180"/>
      <c r="N527" s="145">
        <f t="shared" ref="N527:N540" si="48">ROUNDUP(I527,2)</f>
        <v>11.37</v>
      </c>
      <c r="P527" s="11" t="s">
        <v>49</v>
      </c>
      <c r="Q527" s="143">
        <v>20</v>
      </c>
      <c r="R527" s="174">
        <v>11.87</v>
      </c>
      <c r="S527" s="215">
        <v>0.6</v>
      </c>
      <c r="T527" s="11">
        <v>1.1000000000000001</v>
      </c>
    </row>
    <row r="528" spans="2:20">
      <c r="B528" s="11" t="s">
        <v>51</v>
      </c>
      <c r="C528" s="143">
        <v>30</v>
      </c>
      <c r="D528" s="174">
        <v>22.96</v>
      </c>
      <c r="E528" s="215">
        <v>0.8</v>
      </c>
      <c r="F528" s="11">
        <v>1.1000000000000001</v>
      </c>
      <c r="G528" s="11">
        <v>1.03</v>
      </c>
      <c r="H528" s="11">
        <v>1.4</v>
      </c>
      <c r="I528" s="144">
        <f t="shared" si="47"/>
        <v>22.252944000000003</v>
      </c>
      <c r="J528" s="173"/>
      <c r="K528" s="197">
        <v>25</v>
      </c>
      <c r="L528" s="180"/>
      <c r="M528" s="180"/>
      <c r="N528" s="145">
        <f t="shared" si="48"/>
        <v>22.26</v>
      </c>
      <c r="P528" s="11" t="s">
        <v>51</v>
      </c>
      <c r="Q528" s="143">
        <v>30</v>
      </c>
      <c r="R528" s="174">
        <v>27.06</v>
      </c>
      <c r="S528" s="215">
        <v>0.6</v>
      </c>
      <c r="T528" s="11">
        <v>1.1000000000000001</v>
      </c>
    </row>
    <row r="529" spans="2:20">
      <c r="B529" s="11" t="s">
        <v>53</v>
      </c>
      <c r="C529" s="143">
        <v>30</v>
      </c>
      <c r="D529" s="174">
        <v>25.01</v>
      </c>
      <c r="E529" s="215">
        <v>0.8</v>
      </c>
      <c r="F529" s="11">
        <v>1.1000000000000001</v>
      </c>
      <c r="G529" s="11">
        <v>1.03</v>
      </c>
      <c r="H529" s="11">
        <v>1.4</v>
      </c>
      <c r="I529" s="144">
        <f t="shared" si="47"/>
        <v>24.111064000000002</v>
      </c>
      <c r="J529" s="173"/>
      <c r="K529" s="197">
        <v>25</v>
      </c>
      <c r="L529" s="180"/>
      <c r="M529" s="180"/>
      <c r="N529" s="145">
        <f t="shared" si="48"/>
        <v>24.12</v>
      </c>
      <c r="P529" s="11" t="s">
        <v>53</v>
      </c>
      <c r="Q529" s="143">
        <v>30</v>
      </c>
      <c r="R529" s="174">
        <v>32</v>
      </c>
      <c r="S529" s="215">
        <v>0.6</v>
      </c>
      <c r="T529" s="11">
        <v>1.1000000000000001</v>
      </c>
    </row>
    <row r="530" spans="2:20">
      <c r="B530" s="11" t="s">
        <v>55</v>
      </c>
      <c r="C530" s="143">
        <v>40</v>
      </c>
      <c r="D530" s="174">
        <f>31.41+((48.3+2*40)/1000)*3.14*101.95</f>
        <v>72.481780900000018</v>
      </c>
      <c r="E530" s="215">
        <v>0.8</v>
      </c>
      <c r="F530" s="11">
        <v>1.1000000000000001</v>
      </c>
      <c r="G530" s="11">
        <v>1.03</v>
      </c>
      <c r="H530" s="11">
        <v>1.69</v>
      </c>
      <c r="I530" s="144">
        <f t="shared" si="47"/>
        <v>67.43818620776004</v>
      </c>
      <c r="J530" s="173"/>
      <c r="K530" s="197">
        <f>25+((48.3+2*40)/1000)*3.14*43</f>
        <v>42.323066000000004</v>
      </c>
      <c r="L530" s="180"/>
      <c r="M530" s="180"/>
      <c r="N530" s="145">
        <f t="shared" si="48"/>
        <v>67.440000000000012</v>
      </c>
      <c r="P530" s="11" t="s">
        <v>55</v>
      </c>
      <c r="Q530" s="143">
        <v>40</v>
      </c>
      <c r="R530" s="174">
        <f>36.95+((48.3+2*40)/1000)*3.14*73.69</f>
        <v>66.636900780000005</v>
      </c>
      <c r="S530" s="215">
        <v>0.6</v>
      </c>
      <c r="T530" s="11">
        <v>1.1000000000000001</v>
      </c>
    </row>
    <row r="531" spans="2:20">
      <c r="B531" s="11" t="s">
        <v>57</v>
      </c>
      <c r="C531" s="143">
        <v>50</v>
      </c>
      <c r="D531" s="174">
        <f>37.97+((60.3+2*50)/1000)*3.14*190.37</f>
        <v>133.79121653999999</v>
      </c>
      <c r="E531" s="215">
        <v>0.8</v>
      </c>
      <c r="F531" s="11">
        <v>1.1499999999999999</v>
      </c>
      <c r="G531" s="11">
        <v>1.03</v>
      </c>
      <c r="H531" s="11">
        <v>2.0499999999999998</v>
      </c>
      <c r="I531" s="144">
        <f t="shared" si="47"/>
        <v>128.89205679330399</v>
      </c>
      <c r="J531" s="173"/>
      <c r="K531" s="197">
        <f>25+((60.3+2*50)/1000)*3.14*43</f>
        <v>46.643706000000002</v>
      </c>
      <c r="L531" s="180"/>
      <c r="M531" s="180"/>
      <c r="N531" s="145">
        <f t="shared" si="48"/>
        <v>128.89999999999998</v>
      </c>
      <c r="P531" s="11" t="s">
        <v>57</v>
      </c>
      <c r="Q531" s="143">
        <v>50</v>
      </c>
      <c r="R531" s="174">
        <f>55.57+((60.3+2*50)/1000)*3.14*154.54</f>
        <v>133.35647268</v>
      </c>
      <c r="S531" s="215">
        <v>0.6</v>
      </c>
      <c r="T531" s="11">
        <v>1.1499999999999999</v>
      </c>
    </row>
    <row r="532" spans="2:20">
      <c r="B532" s="11" t="s">
        <v>59</v>
      </c>
      <c r="C532" s="143">
        <v>70</v>
      </c>
      <c r="D532" s="174">
        <f>54.65+((76.1+2*60)/1000)*3.14*278.61+((76.1+2*70)/1000)*3.14*101.95</f>
        <v>295.38380224000002</v>
      </c>
      <c r="E532" s="215">
        <v>0.8</v>
      </c>
      <c r="F532" s="11">
        <v>1.1499999999999999</v>
      </c>
      <c r="G532" s="11">
        <v>1.03</v>
      </c>
      <c r="H532" s="11">
        <v>2.59</v>
      </c>
      <c r="I532" s="144">
        <f t="shared" si="47"/>
        <v>282.57339100262402</v>
      </c>
      <c r="J532" s="173"/>
      <c r="K532" s="197">
        <f>25+((76.1+2*60)/1000)*3.14*43+((76.1+2*70)/1000)*3.14*43</f>
        <v>80.65524400000001</v>
      </c>
      <c r="L532" s="180"/>
      <c r="M532" s="180"/>
      <c r="N532" s="145">
        <f t="shared" si="48"/>
        <v>282.58</v>
      </c>
      <c r="P532" s="11" t="s">
        <v>59</v>
      </c>
      <c r="Q532" s="143">
        <v>70</v>
      </c>
      <c r="R532" s="217">
        <f>55.77+((76.1+2*60)/1000)*3.14*154.54+((76.1+2*70)/1000)*3.14*73.69</f>
        <v>200.93126741999998</v>
      </c>
      <c r="S532" s="215">
        <v>0.6</v>
      </c>
      <c r="T532" s="11">
        <v>1.1499999999999999</v>
      </c>
    </row>
    <row r="533" spans="2:20">
      <c r="B533" s="11" t="s">
        <v>60</v>
      </c>
      <c r="C533" s="143">
        <v>80</v>
      </c>
      <c r="D533" s="174">
        <f>73.65+((88.9+2*60)/1000)*3.14*278.61+((88.9+2*80)/1000)*3.14*190.37</f>
        <v>405.18602708000003</v>
      </c>
      <c r="E533" s="215">
        <v>0.8</v>
      </c>
      <c r="F533" s="11">
        <v>1.1499999999999999</v>
      </c>
      <c r="G533" s="11">
        <v>1.03</v>
      </c>
      <c r="H533" s="11">
        <v>3.14</v>
      </c>
      <c r="I533" s="144">
        <f t="shared" si="47"/>
        <v>387.18847926100796</v>
      </c>
      <c r="J533" s="173"/>
      <c r="K533" s="197">
        <f>30+((88.9+2*60)/1000)*3.14*43+((88.9+2*80)/1000)*3.14*43</f>
        <v>91.812156000000016</v>
      </c>
      <c r="L533" s="180"/>
      <c r="M533" s="180"/>
      <c r="N533" s="145">
        <f t="shared" si="48"/>
        <v>387.19</v>
      </c>
      <c r="P533" s="11" t="s">
        <v>60</v>
      </c>
      <c r="Q533" s="143">
        <v>80</v>
      </c>
      <c r="R533" s="217">
        <f>86.7+((88.9+2*60)/1000)*3.14*201.83+((88.9+2*80)/1000)*3.14*201.83</f>
        <v>376.8290103600001</v>
      </c>
      <c r="S533" s="215">
        <v>0.6</v>
      </c>
      <c r="T533" s="11">
        <v>1.1499999999999999</v>
      </c>
    </row>
    <row r="534" spans="2:20">
      <c r="B534" s="11" t="s">
        <v>62</v>
      </c>
      <c r="C534" s="143">
        <v>100</v>
      </c>
      <c r="D534" s="174">
        <f>95.03+((114.3+2*60)/1000)*3.14*278.61+((114.3+2*90)/1000)*3.14*278.61+((114.3+2*100)/1000)*3.14*101.95</f>
        <v>658.08265133999998</v>
      </c>
      <c r="E534" s="215">
        <v>0.8</v>
      </c>
      <c r="F534" s="11">
        <v>1.1499999999999999</v>
      </c>
      <c r="G534" s="11">
        <v>1.03</v>
      </c>
      <c r="H534" s="11">
        <v>3.86</v>
      </c>
      <c r="I534" s="144">
        <f t="shared" si="47"/>
        <v>627.57492040978389</v>
      </c>
      <c r="J534" s="173"/>
      <c r="K534" s="197">
        <f>30+((114.3+2*60)/1000)*3.14*43+((114.3+2*90)/1000)*3.14*43+((114.3+2*100)/1000)*3.14*43</f>
        <v>143.80835800000003</v>
      </c>
      <c r="L534" s="180"/>
      <c r="M534" s="180"/>
      <c r="N534" s="145">
        <f t="shared" si="48"/>
        <v>627.58000000000004</v>
      </c>
      <c r="P534" s="11" t="s">
        <v>62</v>
      </c>
      <c r="Q534" s="143">
        <v>100</v>
      </c>
      <c r="R534" s="220">
        <f>95.03+((114.3+2*60)/1000)*3.14*278.61+((114.3+2*90)/1000)*3.14*278.61+((114.3+2*100)/1000)*3.14*101.95</f>
        <v>658.08265133999998</v>
      </c>
      <c r="S534" s="215">
        <v>0.6</v>
      </c>
      <c r="T534" s="11">
        <v>1.1499999999999999</v>
      </c>
    </row>
    <row r="535" spans="2:20">
      <c r="B535" s="11" t="s">
        <v>63</v>
      </c>
      <c r="C535" s="143">
        <v>100</v>
      </c>
      <c r="D535" s="174">
        <f>((139.7+2*30)/1000)*3.14*278.61+((139.7+2*60)/1000)*3.14*278.61+((139.7+2*90)/1000)*3.14*278.61+((139.7+2*100)/1000)*3.14*101.95</f>
        <v>790.33004324000001</v>
      </c>
      <c r="E535" s="215">
        <v>0.8</v>
      </c>
      <c r="F535" s="11">
        <v>1.1499999999999999</v>
      </c>
      <c r="G535" s="11">
        <v>1.03</v>
      </c>
      <c r="H535" s="11">
        <v>4.7699999999999996</v>
      </c>
      <c r="I535" s="144">
        <f t="shared" si="47"/>
        <v>753.82984897422398</v>
      </c>
      <c r="J535" s="173"/>
      <c r="K535" s="197">
        <f>((139.7+2*30)/1000)*3.14*43+((139.7+2*60)/1000)*3.14*43+((139.7+2*90)/1000)*3.14*43+((139.7+2*100)/1000)*3.14*43</f>
        <v>151.06037599999999</v>
      </c>
      <c r="L535" s="180"/>
      <c r="M535" s="180"/>
      <c r="N535" s="145">
        <f t="shared" si="48"/>
        <v>753.83</v>
      </c>
      <c r="P535" s="11" t="s">
        <v>63</v>
      </c>
      <c r="Q535" s="143">
        <v>100</v>
      </c>
      <c r="R535" s="220">
        <f>((139.7+2*30)/1000)*3.14*278.61+((139.7+2*60)/1000)*3.14*278.61+((139.7+2*90)/1000)*3.14*278.61+((139.7+2*100)/1000)*3.14*101.95</f>
        <v>790.33004324000001</v>
      </c>
      <c r="S535" s="215">
        <v>0.6</v>
      </c>
      <c r="T535" s="11">
        <v>1.1499999999999999</v>
      </c>
    </row>
    <row r="536" spans="2:20">
      <c r="B536" s="11" t="s">
        <v>66</v>
      </c>
      <c r="C536" s="143">
        <v>100</v>
      </c>
      <c r="D536" s="174">
        <f>((168.3+2*30)/1000)*3.14*278.61+((168.3+2*60)/1000)*3.14*278.61+((168.3+2*90)/1000)*3.14*278.61+((168.3+2*100)/1000)*3.14*101.95</f>
        <v>874.54643836000014</v>
      </c>
      <c r="E536" s="215">
        <v>0.8</v>
      </c>
      <c r="F536" s="11">
        <v>1.1499999999999999</v>
      </c>
      <c r="G536" s="11">
        <v>1.03</v>
      </c>
      <c r="H536" s="11">
        <v>5.67</v>
      </c>
      <c r="I536" s="144">
        <f t="shared" si="47"/>
        <v>834.56030498993607</v>
      </c>
      <c r="J536" s="173"/>
      <c r="K536" s="197">
        <f>((168.3+2*30)/1000)*3.14*43+((168.3+2*60)/1000)*3.14*43+((168.3+2*90)/1000)*3.14*43+((168.3+2*100)/1000)*3.14*43</f>
        <v>166.506664</v>
      </c>
      <c r="L536" s="180"/>
      <c r="M536" s="180"/>
      <c r="N536" s="145">
        <f t="shared" si="48"/>
        <v>834.56999999999994</v>
      </c>
      <c r="P536" s="11" t="s">
        <v>66</v>
      </c>
      <c r="Q536" s="143">
        <v>100</v>
      </c>
      <c r="R536" s="220">
        <f>((168.3+2*30)/1000)*3.14*278.61+((168.3+2*60)/1000)*3.14*278.61+((168.3+2*90)/1000)*3.14*278.61+((168.3+2*100)/1000)*3.14*101.95</f>
        <v>874.54643836000014</v>
      </c>
      <c r="S536" s="215">
        <v>0.6</v>
      </c>
      <c r="T536" s="11">
        <v>1.1499999999999999</v>
      </c>
    </row>
    <row r="537" spans="2:20">
      <c r="B537" s="11" t="s">
        <v>121</v>
      </c>
      <c r="C537" s="143">
        <v>100</v>
      </c>
      <c r="D537" s="174">
        <f>((219.1+2*30)/1000)*3.14*278.61+((219.1+2*60)/1000)*3.14*278.61+((219.1+2*90)/1000)*3.14*278.61+((219.1+2*100)/1000)*3.14*101.95</f>
        <v>1024.1336017200001</v>
      </c>
      <c r="E537" s="215">
        <v>0.8</v>
      </c>
      <c r="F537" s="11">
        <v>1.1499999999999999</v>
      </c>
      <c r="G537" s="11">
        <v>1.03</v>
      </c>
      <c r="H537" s="11">
        <v>7.48</v>
      </c>
      <c r="I537" s="144">
        <f t="shared" si="47"/>
        <v>978.17340098987211</v>
      </c>
      <c r="J537" s="173"/>
      <c r="K537" s="197">
        <f>((219.1+2*30)/1000)*3.14*43+((219.1+2*60)/1000)*3.14*43+((219.1+2*90)/1000)*3.14*43+((219.1+2*100)/1000)*3.14*43</f>
        <v>193.94272800000002</v>
      </c>
      <c r="L537" s="180"/>
      <c r="M537" s="180"/>
      <c r="N537" s="145">
        <f t="shared" si="48"/>
        <v>978.18</v>
      </c>
      <c r="P537" s="11" t="s">
        <v>121</v>
      </c>
      <c r="Q537" s="143">
        <v>100</v>
      </c>
      <c r="R537" s="220">
        <f>((219.1+2*30)/1000)*3.14*278.61+((219.1+2*60)/1000)*3.14*278.61+((219.1+2*90)/1000)*3.14*278.61+((219.1+2*100)/1000)*3.14*101.95</f>
        <v>1024.1336017200001</v>
      </c>
      <c r="S537" s="215">
        <v>0.6</v>
      </c>
      <c r="T537" s="11">
        <v>1.1499999999999999</v>
      </c>
    </row>
    <row r="538" spans="2:20">
      <c r="B538" s="11" t="s">
        <v>122</v>
      </c>
      <c r="C538" s="143">
        <v>100</v>
      </c>
      <c r="D538" s="174">
        <f>((273+2*30)/1000)*3.14*278.61+((273+2*60)/1000)*3.14*278.61+((273+2*90)/1000)*3.14*278.61+((273+2*100)/1000)*3.14*101.95</f>
        <v>1182.8491156000002</v>
      </c>
      <c r="E538" s="215">
        <v>0.8</v>
      </c>
      <c r="F538" s="11">
        <v>1.1499999999999999</v>
      </c>
      <c r="G538" s="11">
        <v>1.03</v>
      </c>
      <c r="H538" s="11">
        <v>9.2899999999999991</v>
      </c>
      <c r="I538" s="144">
        <f t="shared" si="47"/>
        <v>1130.4365219425601</v>
      </c>
      <c r="J538" s="173"/>
      <c r="K538" s="197">
        <f>((273+2*30)/1000)*3.14*43+((273+2*60)/1000)*3.14*43+((273+2*90)/1000)*3.14*43+((273+2*100)/1000)*3.14*43</f>
        <v>223.05304000000001</v>
      </c>
      <c r="L538" s="180"/>
      <c r="M538" s="180"/>
      <c r="N538" s="145">
        <f t="shared" si="48"/>
        <v>1130.44</v>
      </c>
      <c r="P538" s="11" t="s">
        <v>122</v>
      </c>
      <c r="Q538" s="143">
        <v>100</v>
      </c>
      <c r="R538" s="220">
        <f>((273+2*30)/1000)*3.14*278.61+((273+2*60)/1000)*3.14*278.61+((273+2*90)/1000)*3.14*278.61+((273+2*100)/1000)*3.14*101.95</f>
        <v>1182.8491156000002</v>
      </c>
      <c r="S538" s="215">
        <v>0.6</v>
      </c>
      <c r="T538" s="11">
        <v>1.1499999999999999</v>
      </c>
    </row>
    <row r="539" spans="2:20">
      <c r="B539" s="11" t="s">
        <v>156</v>
      </c>
      <c r="C539" s="143">
        <v>100</v>
      </c>
      <c r="D539" s="174">
        <f>((323.9+2*30)/1000)*3.14*278.61+((323.9+2*60)/1000)*3.14*278.61+((323.9+2*90)/1000)*3.14*278.618+((323.9+2*100)/1000)*3.14*101.95</f>
        <v>1332.7433998479999</v>
      </c>
      <c r="E539" s="215">
        <v>0.8</v>
      </c>
      <c r="F539" s="11">
        <v>1.1499999999999999</v>
      </c>
      <c r="G539" s="11">
        <v>1.03</v>
      </c>
      <c r="H539" s="11">
        <v>10.5</v>
      </c>
      <c r="I539" s="144">
        <f t="shared" si="47"/>
        <v>1273.7226456959645</v>
      </c>
      <c r="J539" s="173"/>
      <c r="K539" s="197">
        <f>((323.9+2*30)/1000)*3.14*43+((323.9+2*60)/1000)*3.14*43+((323.9+2*90)/1000)*3.14*43+((323.9+2*100)/1000)*3.14*43</f>
        <v>250.54311200000001</v>
      </c>
      <c r="L539" s="180"/>
      <c r="M539" s="180"/>
      <c r="N539" s="145">
        <f t="shared" si="48"/>
        <v>1273.73</v>
      </c>
      <c r="P539" s="11" t="s">
        <v>156</v>
      </c>
      <c r="Q539" s="143">
        <v>100</v>
      </c>
      <c r="R539" s="220">
        <f>((323.9+2*30)/1000)*3.14*278.61+((323.9+2*60)/1000)*3.14*278.61+((323.9+2*90)/1000)*3.14*278.618+((323.9+2*100)/1000)*3.14*101.95</f>
        <v>1332.7433998479999</v>
      </c>
      <c r="S539" s="215">
        <v>0.6</v>
      </c>
      <c r="T539" s="11">
        <v>1.1499999999999999</v>
      </c>
    </row>
    <row r="540" spans="2:20">
      <c r="B540" s="11" t="s">
        <v>158</v>
      </c>
      <c r="C540" s="143">
        <v>100</v>
      </c>
      <c r="D540" s="174">
        <f>((355.6+2*30)/1000)*3.14*278.61+((355.6+2*60)/1000)*3.14*278.61+((355.6+2*90)/1000)*3.14*278.61+((355.6+2*100)/1000)*3.14*101.95</f>
        <v>1426.0754875200003</v>
      </c>
      <c r="E540" s="215">
        <v>0.8</v>
      </c>
      <c r="F540" s="11">
        <v>1.1499999999999999</v>
      </c>
      <c r="G540" s="11">
        <v>1.03</v>
      </c>
      <c r="H540" s="11">
        <v>12.5</v>
      </c>
      <c r="I540" s="144">
        <f t="shared" si="47"/>
        <v>1364.2241319739521</v>
      </c>
      <c r="J540" s="198"/>
      <c r="K540" s="195">
        <f>((355.6+2*30)/1000)*3.14*43+((355.6+2*60)/1000)*3.14*43+((355.6+2*90)/1000)*3.14*43+((355.6+2*100)/1000)*3.14*43</f>
        <v>267.66364800000002</v>
      </c>
      <c r="L540" s="180"/>
      <c r="M540" s="180"/>
      <c r="N540" s="145">
        <f t="shared" si="48"/>
        <v>1364.23</v>
      </c>
      <c r="P540" s="11" t="s">
        <v>158</v>
      </c>
      <c r="Q540" s="143">
        <v>100</v>
      </c>
      <c r="R540" s="220">
        <f>((355.6+2*30)/1000)*3.14*278.61+((355.6+2*60)/1000)*3.14*278.61+((355.6+2*90)/1000)*3.14*278.61+((355.6+2*100)/1000)*3.14*101.95</f>
        <v>1426.0754875200003</v>
      </c>
      <c r="S540" s="215">
        <v>0.6</v>
      </c>
      <c r="T540" s="11">
        <v>1.1499999999999999</v>
      </c>
    </row>
    <row r="541" spans="2:20">
      <c r="C541" s="136"/>
      <c r="D541" s="178"/>
      <c r="I541" s="138"/>
      <c r="J541" s="138"/>
      <c r="K541" s="179"/>
      <c r="L541" s="180"/>
      <c r="M541" s="180"/>
      <c r="N541" s="136"/>
    </row>
    <row r="542" spans="2:20">
      <c r="C542" s="136"/>
      <c r="D542" s="178"/>
      <c r="I542" s="138"/>
      <c r="J542" s="138"/>
      <c r="K542" s="179"/>
      <c r="L542" s="180"/>
      <c r="M542" s="180"/>
      <c r="N542" s="136"/>
    </row>
    <row r="543" spans="2:20" ht="30">
      <c r="B543" s="28" t="s">
        <v>799</v>
      </c>
      <c r="C543" s="213" t="s">
        <v>893</v>
      </c>
      <c r="D543" s="203" t="s">
        <v>817</v>
      </c>
      <c r="I543" s="138"/>
      <c r="J543" s="138"/>
      <c r="K543" s="179"/>
      <c r="L543" s="180"/>
      <c r="M543" s="180"/>
      <c r="N543" s="136"/>
    </row>
    <row r="544" spans="2:20">
      <c r="B544" s="11" t="s">
        <v>769</v>
      </c>
      <c r="C544" s="143" t="s">
        <v>770</v>
      </c>
      <c r="D544" s="174" t="s">
        <v>771</v>
      </c>
      <c r="E544" s="11" t="s">
        <v>613</v>
      </c>
      <c r="F544" s="11" t="s">
        <v>772</v>
      </c>
      <c r="G544" s="11" t="s">
        <v>773</v>
      </c>
      <c r="H544" s="11" t="s">
        <v>774</v>
      </c>
      <c r="I544" s="147" t="s">
        <v>771</v>
      </c>
      <c r="J544" s="147"/>
      <c r="K544" s="191" t="s">
        <v>775</v>
      </c>
      <c r="L544" s="180"/>
      <c r="M544" s="180"/>
      <c r="N544" s="136"/>
    </row>
    <row r="545" spans="2:14">
      <c r="B545" s="11" t="s">
        <v>47</v>
      </c>
      <c r="C545" s="143">
        <v>20</v>
      </c>
      <c r="D545" s="174">
        <v>10.08</v>
      </c>
      <c r="E545" s="11">
        <v>0.6</v>
      </c>
      <c r="F545" s="11">
        <v>1.1000000000000001</v>
      </c>
      <c r="G545" s="11">
        <v>1.03</v>
      </c>
      <c r="H545" s="11">
        <v>1.01</v>
      </c>
      <c r="I545" s="144">
        <f>(((D545*E545)*F545)+H545)*G545</f>
        <v>7.8926840000000009</v>
      </c>
      <c r="J545" s="173"/>
      <c r="K545" s="197">
        <v>21</v>
      </c>
      <c r="L545" s="180"/>
      <c r="M545" s="180"/>
      <c r="N545" s="145">
        <f>ROUNDUP(I545,2)</f>
        <v>7.8999999999999995</v>
      </c>
    </row>
    <row r="546" spans="2:14">
      <c r="B546" s="11" t="s">
        <v>49</v>
      </c>
      <c r="C546" s="143">
        <v>20</v>
      </c>
      <c r="D546" s="174">
        <v>11.39</v>
      </c>
      <c r="E546" s="11">
        <v>0.6</v>
      </c>
      <c r="F546" s="11">
        <v>1.1000000000000001</v>
      </c>
      <c r="G546" s="11">
        <v>1.03</v>
      </c>
      <c r="H546" s="11">
        <v>1.01</v>
      </c>
      <c r="I546" s="144">
        <f t="shared" ref="I546:I559" si="49">(((D546*E546)*F546)+H546)*G546</f>
        <v>8.7832220000000021</v>
      </c>
      <c r="J546" s="173"/>
      <c r="K546" s="197">
        <v>21</v>
      </c>
      <c r="L546" s="180"/>
      <c r="M546" s="180"/>
      <c r="N546" s="145">
        <f t="shared" ref="N546:N559" si="50">ROUNDUP(I546,2)</f>
        <v>8.7899999999999991</v>
      </c>
    </row>
    <row r="547" spans="2:14">
      <c r="B547" s="11" t="s">
        <v>51</v>
      </c>
      <c r="C547" s="143">
        <v>30</v>
      </c>
      <c r="D547" s="174">
        <v>22.96</v>
      </c>
      <c r="E547" s="11">
        <v>0.6</v>
      </c>
      <c r="F547" s="11">
        <v>1.1000000000000001</v>
      </c>
      <c r="G547" s="11">
        <v>1.03</v>
      </c>
      <c r="H547" s="11">
        <v>1.4</v>
      </c>
      <c r="I547" s="144">
        <f t="shared" si="49"/>
        <v>17.050208000000001</v>
      </c>
      <c r="J547" s="173"/>
      <c r="K547" s="197">
        <v>21</v>
      </c>
      <c r="L547" s="180"/>
      <c r="M547" s="180"/>
      <c r="N547" s="145">
        <f t="shared" si="50"/>
        <v>17.060000000000002</v>
      </c>
    </row>
    <row r="548" spans="2:14">
      <c r="B548" s="11" t="s">
        <v>53</v>
      </c>
      <c r="C548" s="143">
        <v>30</v>
      </c>
      <c r="D548" s="174">
        <v>25.01</v>
      </c>
      <c r="E548" s="11">
        <v>0.6</v>
      </c>
      <c r="F548" s="11">
        <v>1.1000000000000001</v>
      </c>
      <c r="G548" s="11">
        <v>1.03</v>
      </c>
      <c r="H548" s="11">
        <v>1.4</v>
      </c>
      <c r="I548" s="144">
        <f t="shared" si="49"/>
        <v>18.443798000000001</v>
      </c>
      <c r="J548" s="173"/>
      <c r="K548" s="197">
        <v>21</v>
      </c>
      <c r="L548" s="180"/>
      <c r="M548" s="180"/>
      <c r="N548" s="145">
        <f t="shared" si="50"/>
        <v>18.450000000000003</v>
      </c>
    </row>
    <row r="549" spans="2:14">
      <c r="B549" s="11" t="s">
        <v>55</v>
      </c>
      <c r="C549" s="143">
        <v>40</v>
      </c>
      <c r="D549" s="174">
        <f>31.41+((48.3+2*40)/1000)*3.14*101.95</f>
        <v>72.481780900000018</v>
      </c>
      <c r="E549" s="11">
        <v>0.6</v>
      </c>
      <c r="F549" s="11">
        <v>1.1000000000000001</v>
      </c>
      <c r="G549" s="11">
        <v>1.03</v>
      </c>
      <c r="H549" s="11">
        <v>1.69</v>
      </c>
      <c r="I549" s="144">
        <f t="shared" si="49"/>
        <v>51.013814655820021</v>
      </c>
      <c r="J549" s="173"/>
      <c r="K549" s="197">
        <f>21+((48.3+2*40)/1000)*3.14*43</f>
        <v>38.323066000000004</v>
      </c>
      <c r="L549" s="180"/>
      <c r="M549" s="180"/>
      <c r="N549" s="145">
        <f t="shared" si="50"/>
        <v>51.019999999999996</v>
      </c>
    </row>
    <row r="550" spans="2:14">
      <c r="B550" s="11" t="s">
        <v>57</v>
      </c>
      <c r="C550" s="143">
        <v>50</v>
      </c>
      <c r="D550" s="174">
        <f>37.97+((60.3+2*50)/1000)*3.14*190.37</f>
        <v>133.79121653999999</v>
      </c>
      <c r="E550" s="11">
        <v>0.6</v>
      </c>
      <c r="F550" s="11">
        <v>1.1499999999999999</v>
      </c>
      <c r="G550" s="11">
        <v>1.03</v>
      </c>
      <c r="H550" s="11">
        <v>2.0499999999999998</v>
      </c>
      <c r="I550" s="144">
        <f t="shared" si="49"/>
        <v>97.19691759497799</v>
      </c>
      <c r="J550" s="173"/>
      <c r="K550" s="197">
        <f>21+((60.3+2*50)/1000)*3.14*43</f>
        <v>42.643706000000002</v>
      </c>
      <c r="L550" s="180"/>
      <c r="M550" s="180"/>
      <c r="N550" s="145">
        <f t="shared" si="50"/>
        <v>97.2</v>
      </c>
    </row>
    <row r="551" spans="2:14">
      <c r="B551" s="11" t="s">
        <v>59</v>
      </c>
      <c r="C551" s="143">
        <v>70</v>
      </c>
      <c r="D551" s="174">
        <f>54.65+((76.1+2*60)/1000)*3.14*278.61+((76.1+2*70)/1000)*3.14*101.95</f>
        <v>295.38380224000002</v>
      </c>
      <c r="E551" s="11">
        <v>0.6</v>
      </c>
      <c r="F551" s="11">
        <v>1.1499999999999999</v>
      </c>
      <c r="G551" s="11">
        <v>1.03</v>
      </c>
      <c r="H551" s="11">
        <v>2.59</v>
      </c>
      <c r="I551" s="144">
        <f t="shared" si="49"/>
        <v>212.59696825196801</v>
      </c>
      <c r="J551" s="173"/>
      <c r="K551" s="197">
        <f>21+((76.1+2*60)/1000)*3.14*43+((76.1+2*70)/1000)*3.14*43</f>
        <v>76.65524400000001</v>
      </c>
      <c r="L551" s="180"/>
      <c r="M551" s="180"/>
      <c r="N551" s="145">
        <f t="shared" si="50"/>
        <v>212.6</v>
      </c>
    </row>
    <row r="552" spans="2:14">
      <c r="B552" s="11" t="s">
        <v>60</v>
      </c>
      <c r="C552" s="143">
        <v>80</v>
      </c>
      <c r="D552" s="174">
        <f>73.65+((88.9+2*60)/1000)*3.14*278.61+((88.9+2*80)/1000)*3.14*190.37</f>
        <v>405.18602708000003</v>
      </c>
      <c r="E552" s="11">
        <v>0.6</v>
      </c>
      <c r="F552" s="11">
        <v>1.1499999999999999</v>
      </c>
      <c r="G552" s="11">
        <v>1.03</v>
      </c>
      <c r="H552" s="11">
        <v>3.14</v>
      </c>
      <c r="I552" s="144">
        <f t="shared" si="49"/>
        <v>291.19990944575596</v>
      </c>
      <c r="J552" s="173"/>
      <c r="K552" s="197">
        <f>26+((88.9+2*60)/1000)*3.14*43+((88.9+2*80)/1000)*3.14*43</f>
        <v>87.812156000000016</v>
      </c>
      <c r="L552" s="180"/>
      <c r="M552" s="180"/>
      <c r="N552" s="145">
        <f t="shared" si="50"/>
        <v>291.2</v>
      </c>
    </row>
    <row r="553" spans="2:14">
      <c r="B553" s="11" t="s">
        <v>62</v>
      </c>
      <c r="C553" s="143">
        <v>100</v>
      </c>
      <c r="D553" s="174">
        <f>95.03+((114.3+2*60)/1000)*3.14*278.61+((114.3+2*90)/1000)*3.14*278.61+((114.3+2*100)/1000)*3.14*101.95</f>
        <v>658.08265133999998</v>
      </c>
      <c r="E553" s="11">
        <v>0.6</v>
      </c>
      <c r="F553" s="11">
        <v>1.1499999999999999</v>
      </c>
      <c r="G553" s="11">
        <v>1.03</v>
      </c>
      <c r="H553" s="11">
        <v>3.86</v>
      </c>
      <c r="I553" s="144">
        <f t="shared" si="49"/>
        <v>471.67514030733798</v>
      </c>
      <c r="J553" s="173"/>
      <c r="K553" s="197">
        <f>26+((114.3+2*60)/1000)*3.14*43+((114.3+2*90)/1000)*3.14*43+((114.3+2*100)/1000)*3.14*43</f>
        <v>139.80835800000003</v>
      </c>
      <c r="L553" s="180"/>
      <c r="M553" s="180"/>
      <c r="N553" s="145">
        <f t="shared" si="50"/>
        <v>471.68</v>
      </c>
    </row>
    <row r="554" spans="2:14">
      <c r="B554" s="11" t="s">
        <v>63</v>
      </c>
      <c r="C554" s="143">
        <v>100</v>
      </c>
      <c r="D554" s="174">
        <f>((139.7+2*30)/1000)*3.14*278.61+((139.7+2*60)/1000)*3.14*278.61+((139.7+2*90)/1000)*3.14*278.61+((139.7+2*100)/1000)*3.14*101.95</f>
        <v>790.33004324000001</v>
      </c>
      <c r="E554" s="11">
        <v>0.6</v>
      </c>
      <c r="F554" s="11">
        <v>1.1499999999999999</v>
      </c>
      <c r="G554" s="11">
        <v>1.03</v>
      </c>
      <c r="H554" s="11">
        <v>4.7699999999999996</v>
      </c>
      <c r="I554" s="144">
        <f t="shared" si="49"/>
        <v>566.60066173066798</v>
      </c>
      <c r="J554" s="173"/>
      <c r="K554" s="197">
        <f>((139.7+2*30)/1000)*3.14*43+((139.7+2*60)/1000)*3.14*43+((139.7+2*90)/1000)*3.14*43+((139.7+2*100)/1000)*3.14*43</f>
        <v>151.06037599999999</v>
      </c>
      <c r="L554" s="180"/>
      <c r="M554" s="180"/>
      <c r="N554" s="145">
        <f t="shared" si="50"/>
        <v>566.61</v>
      </c>
    </row>
    <row r="555" spans="2:14">
      <c r="B555" s="11" t="s">
        <v>66</v>
      </c>
      <c r="C555" s="143">
        <v>100</v>
      </c>
      <c r="D555" s="174">
        <f>((168.3+2*30)/1000)*3.14*278.61+((168.3+2*60)/1000)*3.14*278.61+((168.3+2*90)/1000)*3.14*278.61+((168.3+2*100)/1000)*3.14*101.95</f>
        <v>874.54643836000014</v>
      </c>
      <c r="E555" s="11">
        <v>0.6</v>
      </c>
      <c r="F555" s="11">
        <v>1.1499999999999999</v>
      </c>
      <c r="G555" s="11">
        <v>1.03</v>
      </c>
      <c r="H555" s="11">
        <v>5.67</v>
      </c>
      <c r="I555" s="144">
        <f t="shared" si="49"/>
        <v>627.38025374245194</v>
      </c>
      <c r="J555" s="173"/>
      <c r="K555" s="197">
        <f>((168.3+2*30)/1000)*3.14*43+((168.3+2*60)/1000)*3.14*43+((168.3+2*90)/1000)*3.14*43+((168.3+2*100)/1000)*3.14*43</f>
        <v>166.506664</v>
      </c>
      <c r="L555" s="180"/>
      <c r="M555" s="180"/>
      <c r="N555" s="145">
        <f t="shared" si="50"/>
        <v>627.39</v>
      </c>
    </row>
    <row r="556" spans="2:14">
      <c r="B556" s="11" t="s">
        <v>121</v>
      </c>
      <c r="C556" s="143">
        <v>100</v>
      </c>
      <c r="D556" s="174">
        <f>((219.1+2*30)/1000)*3.14*278.61+((219.1+2*60)/1000)*3.14*278.61+((219.1+2*90)/1000)*3.14*278.61+((219.1+2*100)/1000)*3.14*101.95</f>
        <v>1024.1336017200001</v>
      </c>
      <c r="E556" s="11">
        <v>0.6</v>
      </c>
      <c r="F556" s="11">
        <v>1.1499999999999999</v>
      </c>
      <c r="G556" s="11">
        <v>1.03</v>
      </c>
      <c r="H556" s="11">
        <v>7.48</v>
      </c>
      <c r="I556" s="144">
        <f t="shared" si="49"/>
        <v>735.55615074240404</v>
      </c>
      <c r="J556" s="173"/>
      <c r="K556" s="197">
        <f>((219.1+2*30)/1000)*3.14*43+((219.1+2*60)/1000)*3.14*43+((219.1+2*90)/1000)*3.14*43+((219.1+2*100)/1000)*3.14*43</f>
        <v>193.94272800000002</v>
      </c>
      <c r="L556" s="180"/>
      <c r="M556" s="180"/>
      <c r="N556" s="145">
        <f t="shared" si="50"/>
        <v>735.56</v>
      </c>
    </row>
    <row r="557" spans="2:14">
      <c r="B557" s="11" t="s">
        <v>122</v>
      </c>
      <c r="C557" s="143">
        <v>100</v>
      </c>
      <c r="D557" s="174">
        <f>((273+2*30)/1000)*3.14*278.61+((273+2*60)/1000)*3.14*278.61+((273+2*90)/1000)*3.14*278.61+((273+2*100)/1000)*3.14*101.95</f>
        <v>1182.8491156000002</v>
      </c>
      <c r="E557" s="11">
        <v>0.6</v>
      </c>
      <c r="F557" s="11">
        <v>1.1499999999999999</v>
      </c>
      <c r="G557" s="11">
        <v>1.03</v>
      </c>
      <c r="H557" s="11">
        <v>9.2899999999999991</v>
      </c>
      <c r="I557" s="144">
        <f t="shared" si="49"/>
        <v>850.21956645692001</v>
      </c>
      <c r="J557" s="173"/>
      <c r="K557" s="197">
        <f>((273+2*30)/1000)*3.14*43+((273+2*60)/1000)*3.14*43+((273+2*90)/1000)*3.14*43+((273+2*100)/1000)*3.14*43</f>
        <v>223.05304000000001</v>
      </c>
      <c r="L557" s="180"/>
      <c r="M557" s="180"/>
      <c r="N557" s="145">
        <f t="shared" si="50"/>
        <v>850.22</v>
      </c>
    </row>
    <row r="558" spans="2:14">
      <c r="B558" s="11" t="s">
        <v>156</v>
      </c>
      <c r="C558" s="143">
        <v>100</v>
      </c>
      <c r="D558" s="174">
        <f>((323.9+2*30)/1000)*3.14*278.61+((323.9+2*60)/1000)*3.14*278.61+((323.9+2*90)/1000)*3.14*278.618+((323.9+2*100)/1000)*3.14*101.95</f>
        <v>1332.7433998479999</v>
      </c>
      <c r="E558" s="11">
        <v>0.6</v>
      </c>
      <c r="F558" s="11">
        <v>1.1499999999999999</v>
      </c>
      <c r="G558" s="11">
        <v>1.03</v>
      </c>
      <c r="H558" s="11">
        <v>10.5</v>
      </c>
      <c r="I558" s="144">
        <f t="shared" si="49"/>
        <v>957.99573427197356</v>
      </c>
      <c r="J558" s="173"/>
      <c r="K558" s="197">
        <f>((323.9+2*30)/1000)*3.14*43+((323.9+2*60)/1000)*3.14*43+((323.9+2*90)/1000)*3.14*43+((323.9+2*100)/1000)*3.14*43</f>
        <v>250.54311200000001</v>
      </c>
      <c r="L558" s="180"/>
      <c r="M558" s="180"/>
      <c r="N558" s="145">
        <f t="shared" si="50"/>
        <v>958</v>
      </c>
    </row>
    <row r="559" spans="2:14">
      <c r="B559" s="11" t="s">
        <v>158</v>
      </c>
      <c r="C559" s="143">
        <v>100</v>
      </c>
      <c r="D559" s="174">
        <f>((355.6+2*30)/1000)*3.14*278.61+((355.6+2*60)/1000)*3.14*278.61+((355.6+2*90)/1000)*3.14*278.61+((355.6+2*100)/1000)*3.14*101.95</f>
        <v>1426.0754875200003</v>
      </c>
      <c r="E559" s="11">
        <v>0.6</v>
      </c>
      <c r="F559" s="11">
        <v>1.1499999999999999</v>
      </c>
      <c r="G559" s="11">
        <v>1.03</v>
      </c>
      <c r="H559" s="11">
        <v>12.5</v>
      </c>
      <c r="I559" s="144">
        <f t="shared" si="49"/>
        <v>1026.386848980464</v>
      </c>
      <c r="J559" s="198"/>
      <c r="K559" s="195">
        <f>((355.6+2*30)/1000)*3.14*43+((355.6+2*60)/1000)*3.14*43+((355.6+2*90)/1000)*3.14*43+((355.6+2*100)/1000)*3.14*43</f>
        <v>267.66364800000002</v>
      </c>
      <c r="L559" s="180"/>
      <c r="M559" s="180"/>
      <c r="N559" s="145">
        <f t="shared" si="50"/>
        <v>1026.3900000000001</v>
      </c>
    </row>
    <row r="560" spans="2:14">
      <c r="C560" s="136"/>
      <c r="D560" s="178"/>
      <c r="I560" s="138"/>
      <c r="J560" s="138"/>
      <c r="K560" s="179"/>
      <c r="L560" s="180"/>
      <c r="M560" s="180"/>
      <c r="N560" s="136"/>
    </row>
    <row r="561" spans="2:14">
      <c r="C561" s="136"/>
      <c r="D561" s="178"/>
      <c r="I561" s="138"/>
      <c r="J561" s="138"/>
      <c r="K561" s="179"/>
      <c r="L561" s="180"/>
      <c r="M561" s="180"/>
      <c r="N561" s="136"/>
    </row>
    <row r="562" spans="2:14" ht="30">
      <c r="B562" s="28" t="s">
        <v>799</v>
      </c>
      <c r="C562" s="213" t="s">
        <v>893</v>
      </c>
      <c r="D562" s="203" t="s">
        <v>866</v>
      </c>
      <c r="I562" s="138"/>
      <c r="J562" s="138"/>
      <c r="K562" s="179"/>
      <c r="L562" s="180"/>
      <c r="M562" s="180"/>
      <c r="N562" s="136"/>
    </row>
    <row r="563" spans="2:14">
      <c r="B563" s="11" t="s">
        <v>769</v>
      </c>
      <c r="C563" s="143" t="s">
        <v>770</v>
      </c>
      <c r="D563" s="174" t="s">
        <v>771</v>
      </c>
      <c r="E563" s="11" t="s">
        <v>613</v>
      </c>
      <c r="F563" s="11" t="s">
        <v>772</v>
      </c>
      <c r="G563" s="11" t="s">
        <v>773</v>
      </c>
      <c r="H563" s="11" t="s">
        <v>774</v>
      </c>
      <c r="I563" s="147" t="s">
        <v>771</v>
      </c>
      <c r="J563" s="147"/>
      <c r="K563" s="191" t="s">
        <v>775</v>
      </c>
      <c r="L563" s="180"/>
      <c r="M563" s="180"/>
      <c r="N563" s="136"/>
    </row>
    <row r="564" spans="2:14">
      <c r="B564" s="11" t="s">
        <v>47</v>
      </c>
      <c r="C564" s="143">
        <v>20</v>
      </c>
      <c r="D564" s="174">
        <v>9.16</v>
      </c>
      <c r="E564" s="11">
        <v>0.6</v>
      </c>
      <c r="F564" s="11">
        <v>1.1000000000000001</v>
      </c>
      <c r="G564" s="11">
        <v>1.03</v>
      </c>
      <c r="H564" s="11">
        <v>1.01</v>
      </c>
      <c r="I564" s="144">
        <f>(((D564*E564)*F564)+H564)*G564</f>
        <v>7.2672680000000005</v>
      </c>
      <c r="J564" s="173"/>
      <c r="K564" s="197">
        <v>21</v>
      </c>
      <c r="L564" s="180"/>
      <c r="M564" s="180"/>
      <c r="N564" s="145">
        <f>ROUNDUP(I564,2)</f>
        <v>7.27</v>
      </c>
    </row>
    <row r="565" spans="2:14">
      <c r="B565" s="11" t="s">
        <v>49</v>
      </c>
      <c r="C565" s="143">
        <v>20</v>
      </c>
      <c r="D565" s="174">
        <v>10.35</v>
      </c>
      <c r="E565" s="11">
        <v>0.6</v>
      </c>
      <c r="F565" s="11">
        <v>1.1000000000000001</v>
      </c>
      <c r="G565" s="11">
        <v>1.03</v>
      </c>
      <c r="H565" s="11">
        <v>1.01</v>
      </c>
      <c r="I565" s="144">
        <f t="shared" ref="I565:I578" si="51">(((D565*E565)*F565)+H565)*G565</f>
        <v>8.0762300000000007</v>
      </c>
      <c r="J565" s="173"/>
      <c r="K565" s="197">
        <v>21</v>
      </c>
      <c r="L565" s="180"/>
      <c r="M565" s="180"/>
      <c r="N565" s="145">
        <f t="shared" ref="N565:N578" si="52">ROUNDUP(I565,2)</f>
        <v>8.08</v>
      </c>
    </row>
    <row r="566" spans="2:14">
      <c r="B566" s="11" t="s">
        <v>51</v>
      </c>
      <c r="C566" s="143">
        <v>30</v>
      </c>
      <c r="D566" s="174">
        <v>20.87</v>
      </c>
      <c r="E566" s="11">
        <v>0.6</v>
      </c>
      <c r="F566" s="11">
        <v>1.1000000000000001</v>
      </c>
      <c r="G566" s="11">
        <v>1.03</v>
      </c>
      <c r="H566" s="11">
        <v>1.4</v>
      </c>
      <c r="I566" s="144">
        <f t="shared" si="51"/>
        <v>15.629426000000002</v>
      </c>
      <c r="J566" s="173"/>
      <c r="K566" s="197">
        <v>21</v>
      </c>
      <c r="L566" s="180"/>
      <c r="M566" s="180"/>
      <c r="N566" s="145">
        <f t="shared" si="52"/>
        <v>15.629999999999999</v>
      </c>
    </row>
    <row r="567" spans="2:14">
      <c r="B567" s="11" t="s">
        <v>53</v>
      </c>
      <c r="C567" s="143">
        <v>30</v>
      </c>
      <c r="D567" s="174">
        <v>22.74</v>
      </c>
      <c r="E567" s="11">
        <v>0.6</v>
      </c>
      <c r="F567" s="11">
        <v>1.1000000000000001</v>
      </c>
      <c r="G567" s="11">
        <v>1.03</v>
      </c>
      <c r="H567" s="11">
        <v>1.4</v>
      </c>
      <c r="I567" s="144">
        <f t="shared" si="51"/>
        <v>16.900652000000001</v>
      </c>
      <c r="J567" s="173"/>
      <c r="K567" s="197">
        <v>21</v>
      </c>
      <c r="L567" s="180"/>
      <c r="M567" s="180"/>
      <c r="N567" s="145">
        <f t="shared" si="52"/>
        <v>16.91</v>
      </c>
    </row>
    <row r="568" spans="2:14">
      <c r="B568" s="11" t="s">
        <v>55</v>
      </c>
      <c r="C568" s="143">
        <v>40</v>
      </c>
      <c r="D568" s="174">
        <f>28.55+((48.3+2*40)/1000)*3.14*92.68</f>
        <v>65.887250160000008</v>
      </c>
      <c r="E568" s="11">
        <v>0.6</v>
      </c>
      <c r="F568" s="11">
        <v>1.1000000000000001</v>
      </c>
      <c r="G568" s="11">
        <v>1.03</v>
      </c>
      <c r="H568" s="11">
        <v>1.69</v>
      </c>
      <c r="I568" s="144">
        <f t="shared" si="51"/>
        <v>46.530852658767998</v>
      </c>
      <c r="J568" s="173"/>
      <c r="K568" s="197">
        <f>21+((48.3+2*40)/1000)*3.14*43</f>
        <v>38.323066000000004</v>
      </c>
      <c r="L568" s="180"/>
      <c r="M568" s="180"/>
      <c r="N568" s="145">
        <f t="shared" si="52"/>
        <v>46.54</v>
      </c>
    </row>
    <row r="569" spans="2:14">
      <c r="B569" s="11" t="s">
        <v>57</v>
      </c>
      <c r="C569" s="143">
        <v>50</v>
      </c>
      <c r="D569" s="174">
        <f>34.52+((60.3+2*50)/1000)*3.14*173.06</f>
        <v>121.62836652000001</v>
      </c>
      <c r="E569" s="11">
        <v>0.6</v>
      </c>
      <c r="F569" s="11">
        <v>1.1499999999999999</v>
      </c>
      <c r="G569" s="11">
        <v>1.03</v>
      </c>
      <c r="H569" s="11">
        <v>2.0499999999999998</v>
      </c>
      <c r="I569" s="144">
        <f t="shared" si="51"/>
        <v>88.552780085763999</v>
      </c>
      <c r="J569" s="173"/>
      <c r="K569" s="197">
        <f>21+((60.3+2*50)/1000)*3.14*43</f>
        <v>42.643706000000002</v>
      </c>
      <c r="L569" s="180"/>
      <c r="M569" s="180"/>
      <c r="N569" s="145">
        <f t="shared" si="52"/>
        <v>88.56</v>
      </c>
    </row>
    <row r="570" spans="2:14">
      <c r="B570" s="11" t="s">
        <v>59</v>
      </c>
      <c r="C570" s="143">
        <v>70</v>
      </c>
      <c r="D570" s="174">
        <f>49.68+((76.1+2*60)/1000)*3.14*253.28+((76.1+2*70)/1000)*3.14*92.68</f>
        <v>268.52655784000001</v>
      </c>
      <c r="E570" s="11">
        <v>0.6</v>
      </c>
      <c r="F570" s="11">
        <v>1.1499999999999999</v>
      </c>
      <c r="G570" s="11">
        <v>1.03</v>
      </c>
      <c r="H570" s="11">
        <v>2.59</v>
      </c>
      <c r="I570" s="144">
        <f t="shared" si="51"/>
        <v>193.509524656888</v>
      </c>
      <c r="J570" s="173"/>
      <c r="K570" s="197">
        <f>21+((76.1+2*60)/1000)*3.14*43+((76.1+2*70)/1000)*3.14*43</f>
        <v>76.65524400000001</v>
      </c>
      <c r="L570" s="180"/>
      <c r="M570" s="180"/>
      <c r="N570" s="145">
        <f t="shared" si="52"/>
        <v>193.51</v>
      </c>
    </row>
    <row r="571" spans="2:14">
      <c r="B571" s="11" t="s">
        <v>60</v>
      </c>
      <c r="C571" s="143">
        <v>80</v>
      </c>
      <c r="D571" s="174">
        <f>66.95+((88.9+2*60)/1000)*3.14*253.28+((88.9+2*80)/1000)*3.14*173.06</f>
        <v>368.34235364000006</v>
      </c>
      <c r="E571" s="11">
        <v>0.6</v>
      </c>
      <c r="F571" s="11">
        <v>1.1499999999999999</v>
      </c>
      <c r="G571" s="11">
        <v>1.03</v>
      </c>
      <c r="H571" s="11">
        <v>3.14</v>
      </c>
      <c r="I571" s="144">
        <f t="shared" si="51"/>
        <v>265.01511073194803</v>
      </c>
      <c r="J571" s="173"/>
      <c r="K571" s="197">
        <f>26+((88.9+2*60)/1000)*3.14*43+((88.9+2*80)/1000)*3.14*43</f>
        <v>87.812156000000016</v>
      </c>
      <c r="L571" s="180"/>
      <c r="M571" s="180"/>
      <c r="N571" s="145">
        <f t="shared" si="52"/>
        <v>265.02</v>
      </c>
    </row>
    <row r="572" spans="2:14">
      <c r="B572" s="11" t="s">
        <v>62</v>
      </c>
      <c r="C572" s="143">
        <v>100</v>
      </c>
      <c r="D572" s="174">
        <f>86.39+((114.3+2*60)/1000)*3.14*253.28+((114.3+2*90)/1000)*3.14*253.28+((114.3+2*100)/1000)*3.14*92.68</f>
        <v>598.25123447999999</v>
      </c>
      <c r="E572" s="11">
        <v>0.6</v>
      </c>
      <c r="F572" s="11">
        <v>1.1499999999999999</v>
      </c>
      <c r="G572" s="11">
        <v>1.03</v>
      </c>
      <c r="H572" s="11">
        <v>3.86</v>
      </c>
      <c r="I572" s="144">
        <f t="shared" si="51"/>
        <v>429.15295234493595</v>
      </c>
      <c r="J572" s="173"/>
      <c r="K572" s="197">
        <f>26+((114.3+2*60)/1000)*3.14*43+((114.3+2*90)/1000)*3.14*43+((114.3+2*100)/1000)*3.14*43</f>
        <v>139.80835800000003</v>
      </c>
      <c r="L572" s="180"/>
      <c r="M572" s="180"/>
      <c r="N572" s="145">
        <f t="shared" si="52"/>
        <v>429.15999999999997</v>
      </c>
    </row>
    <row r="573" spans="2:14">
      <c r="B573" s="11" t="s">
        <v>63</v>
      </c>
      <c r="C573" s="143">
        <v>100</v>
      </c>
      <c r="D573" s="174">
        <f>((139.7+2*30)/1000)*3.14*253.28+((139.7+2*60)/1000)*3.14*253.28+((139.7+2*90)/1000)*3.14*253.28+((139.7+2*100)/1000)*3.14*92.68</f>
        <v>718.47547015999999</v>
      </c>
      <c r="E573" s="11">
        <v>0.6</v>
      </c>
      <c r="F573" s="11">
        <v>1.1499999999999999</v>
      </c>
      <c r="G573" s="11">
        <v>1.03</v>
      </c>
      <c r="H573" s="11">
        <v>4.7699999999999996</v>
      </c>
      <c r="I573" s="144">
        <f t="shared" si="51"/>
        <v>515.53361664271188</v>
      </c>
      <c r="J573" s="173"/>
      <c r="K573" s="197">
        <f>((139.7+2*30)/1000)*3.14*43+((139.7+2*60)/1000)*3.14*43+((139.7+2*90)/1000)*3.14*43+((139.7+2*100)/1000)*3.14*43</f>
        <v>151.06037599999999</v>
      </c>
      <c r="L573" s="180"/>
      <c r="M573" s="180"/>
      <c r="N573" s="145">
        <f t="shared" si="52"/>
        <v>515.54</v>
      </c>
    </row>
    <row r="574" spans="2:14">
      <c r="B574" s="11" t="s">
        <v>66</v>
      </c>
      <c r="C574" s="143">
        <v>100</v>
      </c>
      <c r="D574" s="174">
        <f>((168.3+2*30)/1000)*3.14*253.28+((168.3+2*60)/1000)*3.14*253.28+((168.3+2*90)/1000)*3.14*253.28+((168.3+2*100)/1000)*3.14*92.68</f>
        <v>795.03517624000006</v>
      </c>
      <c r="E574" s="11">
        <v>0.6</v>
      </c>
      <c r="F574" s="11">
        <v>1.1499999999999999</v>
      </c>
      <c r="G574" s="11">
        <v>1.03</v>
      </c>
      <c r="H574" s="11">
        <v>5.67</v>
      </c>
      <c r="I574" s="144">
        <f t="shared" si="51"/>
        <v>570.8715997537679</v>
      </c>
      <c r="J574" s="173"/>
      <c r="K574" s="197">
        <f>((168.3+2*30)/1000)*3.14*43+((168.3+2*60)/1000)*3.14*43+((168.3+2*90)/1000)*3.14*43+((168.3+2*100)/1000)*3.14*43</f>
        <v>166.506664</v>
      </c>
      <c r="L574" s="180"/>
      <c r="M574" s="180"/>
      <c r="N574" s="145">
        <f t="shared" si="52"/>
        <v>570.88</v>
      </c>
    </row>
    <row r="575" spans="2:14">
      <c r="B575" s="11" t="s">
        <v>121</v>
      </c>
      <c r="C575" s="143">
        <v>100</v>
      </c>
      <c r="D575" s="174">
        <f>((219.1+2*30)/1000)*3.14*253.28+((219.1+2*60)/1000)*3.14*253.28+((219.1+2*90)/1000)*3.14*253.28+((219.1+2*100)/1000)*3.14*92.68</f>
        <v>931.02234648000012</v>
      </c>
      <c r="E575" s="11">
        <v>0.6</v>
      </c>
      <c r="F575" s="11">
        <v>1.1499999999999999</v>
      </c>
      <c r="G575" s="11">
        <v>1.03</v>
      </c>
      <c r="H575" s="11">
        <v>7.48</v>
      </c>
      <c r="I575" s="144">
        <f t="shared" si="51"/>
        <v>669.38198164333608</v>
      </c>
      <c r="J575" s="173"/>
      <c r="K575" s="197">
        <f>((219.1+2*30)/1000)*3.14*43+((219.1+2*60)/1000)*3.14*43+((219.1+2*90)/1000)*3.14*43+((219.1+2*100)/1000)*3.14*43</f>
        <v>193.94272800000002</v>
      </c>
      <c r="L575" s="180"/>
      <c r="M575" s="180"/>
      <c r="N575" s="145">
        <f t="shared" si="52"/>
        <v>669.39</v>
      </c>
    </row>
    <row r="576" spans="2:14">
      <c r="B576" s="11" t="s">
        <v>122</v>
      </c>
      <c r="C576" s="143">
        <v>100</v>
      </c>
      <c r="D576" s="174">
        <f>((273+2*30)/1000)*3.14*253.28+((273+2*60)/1000)*3.14*253.28+((273+2*90)/1000)*3.14*253.28+((273+2*100)/1000)*3.14*92.68</f>
        <v>1075.3079464000002</v>
      </c>
      <c r="E576" s="11">
        <v>0.6</v>
      </c>
      <c r="F576" s="11">
        <v>1.1499999999999999</v>
      </c>
      <c r="G576" s="11">
        <v>1.03</v>
      </c>
      <c r="H576" s="11">
        <v>9.2899999999999991</v>
      </c>
      <c r="I576" s="144">
        <f t="shared" si="51"/>
        <v>773.79005750647991</v>
      </c>
      <c r="J576" s="173"/>
      <c r="K576" s="197">
        <f>((273+2*30)/1000)*3.14*43+((273+2*60)/1000)*3.14*43+((273+2*90)/1000)*3.14*43+((273+2*100)/1000)*3.14*43</f>
        <v>223.05304000000001</v>
      </c>
      <c r="L576" s="180"/>
      <c r="M576" s="180"/>
      <c r="N576" s="145">
        <f t="shared" si="52"/>
        <v>773.8</v>
      </c>
    </row>
    <row r="577" spans="2:14">
      <c r="B577" s="11" t="s">
        <v>156</v>
      </c>
      <c r="C577" s="143">
        <v>100</v>
      </c>
      <c r="D577" s="174">
        <f>((323.9+2*30)/1000)*3.14*253.28+((323.9+2*60)/1000)*3.14*253.28+((323.9+2*90)/1000)*3.14*253.28+((323.9+2*100)/1000)*3.14*92.68</f>
        <v>1211.5628079200001</v>
      </c>
      <c r="E577" s="11">
        <v>0.6</v>
      </c>
      <c r="F577" s="11">
        <v>1.1499999999999999</v>
      </c>
      <c r="G577" s="11">
        <v>1.03</v>
      </c>
      <c r="H577" s="11">
        <v>10.5</v>
      </c>
      <c r="I577" s="144">
        <f t="shared" si="51"/>
        <v>871.87268758874393</v>
      </c>
      <c r="J577" s="173"/>
      <c r="K577" s="197">
        <f>((323.9+2*30)/1000)*3.14*43+((323.9+2*60)/1000)*3.14*43+((323.9+2*90)/1000)*3.14*43+((323.9+2*100)/1000)*3.14*43</f>
        <v>250.54311200000001</v>
      </c>
      <c r="L577" s="180"/>
      <c r="M577" s="180"/>
      <c r="N577" s="145">
        <f t="shared" si="52"/>
        <v>871.88</v>
      </c>
    </row>
    <row r="578" spans="2:14">
      <c r="B578" s="11" t="s">
        <v>158</v>
      </c>
      <c r="C578" s="143">
        <v>100</v>
      </c>
      <c r="D578" s="174">
        <f>((355.6+2*30)/1000)*3.14*253.28+((355.6+2*60)/1000)*3.14*253.28+((355.6+2*90)/1000)*3.14*253.28+((355.6+2*100)/1000)*3.14*92.68</f>
        <v>1296.4209436800002</v>
      </c>
      <c r="E578" s="11">
        <v>0.6</v>
      </c>
      <c r="F578" s="11">
        <v>1.1499999999999999</v>
      </c>
      <c r="G578" s="11">
        <v>1.03</v>
      </c>
      <c r="H578" s="11">
        <v>12.5</v>
      </c>
      <c r="I578" s="144">
        <f t="shared" si="51"/>
        <v>934.2413646733761</v>
      </c>
      <c r="J578" s="198"/>
      <c r="K578" s="195">
        <f>((355.6+2*30)/1000)*3.14*43+((355.6+2*60)/1000)*3.14*43+((355.6+2*90)/1000)*3.14*43+((355.6+2*100)/1000)*3.14*43</f>
        <v>267.66364800000002</v>
      </c>
      <c r="L578" s="180"/>
      <c r="M578" s="180"/>
      <c r="N578" s="145">
        <f t="shared" si="52"/>
        <v>934.25</v>
      </c>
    </row>
    <row r="579" spans="2:14">
      <c r="C579" s="136"/>
      <c r="D579" s="178"/>
      <c r="I579" s="138"/>
      <c r="J579" s="138"/>
      <c r="K579" s="179"/>
      <c r="L579" s="180"/>
      <c r="M579" s="180"/>
      <c r="N579" s="136"/>
    </row>
    <row r="580" spans="2:14">
      <c r="C580" s="136"/>
      <c r="D580" s="178"/>
      <c r="I580" s="138"/>
      <c r="J580" s="138"/>
      <c r="K580" s="179"/>
      <c r="L580" s="180"/>
      <c r="M580" s="180"/>
      <c r="N580" s="136"/>
    </row>
    <row r="581" spans="2:14">
      <c r="C581" s="136"/>
      <c r="D581" s="178"/>
      <c r="I581" s="138"/>
      <c r="J581" s="138"/>
      <c r="K581" s="179"/>
      <c r="L581" s="180"/>
      <c r="M581" s="180"/>
      <c r="N581" s="136"/>
    </row>
    <row r="582" spans="2:14">
      <c r="C582" s="136"/>
      <c r="D582" s="178"/>
      <c r="I582" s="138"/>
      <c r="J582" s="138"/>
      <c r="K582" s="179"/>
      <c r="L582" s="180"/>
      <c r="M582" s="180"/>
      <c r="N582" s="136"/>
    </row>
    <row r="583" spans="2:14">
      <c r="B583" s="28" t="s">
        <v>799</v>
      </c>
      <c r="C583" s="213" t="s">
        <v>896</v>
      </c>
      <c r="D583" s="203" t="s">
        <v>866</v>
      </c>
      <c r="I583" s="138"/>
      <c r="J583" s="138"/>
      <c r="K583" s="179"/>
      <c r="L583" s="180"/>
      <c r="M583" s="180"/>
      <c r="N583" s="136"/>
    </row>
    <row r="584" spans="2:14">
      <c r="B584" s="11" t="s">
        <v>769</v>
      </c>
      <c r="C584" s="143" t="s">
        <v>770</v>
      </c>
      <c r="D584" s="174" t="s">
        <v>771</v>
      </c>
      <c r="E584" s="11" t="s">
        <v>613</v>
      </c>
      <c r="F584" s="11" t="s">
        <v>772</v>
      </c>
      <c r="G584" s="11" t="s">
        <v>773</v>
      </c>
      <c r="H584" s="11" t="s">
        <v>774</v>
      </c>
      <c r="I584" s="147" t="s">
        <v>771</v>
      </c>
      <c r="J584" s="147"/>
      <c r="K584" s="191" t="s">
        <v>775</v>
      </c>
      <c r="L584" s="180"/>
      <c r="M584" s="180"/>
      <c r="N584" s="136"/>
    </row>
    <row r="585" spans="2:14">
      <c r="B585" s="11" t="s">
        <v>47</v>
      </c>
      <c r="C585" s="143">
        <v>20</v>
      </c>
      <c r="D585" s="174">
        <v>8.5399999999999991</v>
      </c>
      <c r="E585" s="11">
        <v>0.6</v>
      </c>
      <c r="F585" s="11">
        <v>1.1000000000000001</v>
      </c>
      <c r="G585" s="11">
        <v>1.03</v>
      </c>
      <c r="H585" s="11">
        <v>1.01</v>
      </c>
      <c r="I585" s="144">
        <f>(((D585*E585)*F585)+H585)*G585</f>
        <v>6.8457920000000003</v>
      </c>
      <c r="J585" s="173"/>
      <c r="K585" s="197">
        <v>21</v>
      </c>
      <c r="L585" s="180"/>
      <c r="M585" s="180"/>
      <c r="N585" s="136"/>
    </row>
    <row r="586" spans="2:14">
      <c r="B586" s="11" t="s">
        <v>49</v>
      </c>
      <c r="C586" s="143">
        <v>20</v>
      </c>
      <c r="D586" s="174">
        <v>9.44</v>
      </c>
      <c r="E586" s="11">
        <v>0.6</v>
      </c>
      <c r="F586" s="11">
        <v>1.1000000000000001</v>
      </c>
      <c r="G586" s="11">
        <v>1.03</v>
      </c>
      <c r="H586" s="11">
        <v>1.01</v>
      </c>
      <c r="I586" s="144">
        <f t="shared" ref="I586:I599" si="53">(((D586*E586)*F586)+H586)*G586</f>
        <v>7.4576120000000001</v>
      </c>
      <c r="J586" s="173"/>
      <c r="K586" s="197">
        <v>21</v>
      </c>
      <c r="L586" s="180"/>
      <c r="M586" s="180"/>
      <c r="N586" s="136"/>
    </row>
    <row r="587" spans="2:14">
      <c r="B587" s="11" t="s">
        <v>51</v>
      </c>
      <c r="C587" s="143">
        <v>30</v>
      </c>
      <c r="D587" s="174">
        <v>17.53</v>
      </c>
      <c r="E587" s="11">
        <v>0.6</v>
      </c>
      <c r="F587" s="11">
        <v>1.1000000000000001</v>
      </c>
      <c r="G587" s="11">
        <v>1.03</v>
      </c>
      <c r="H587" s="11">
        <v>1.4</v>
      </c>
      <c r="I587" s="144">
        <f t="shared" si="53"/>
        <v>13.358894000000003</v>
      </c>
      <c r="J587" s="173"/>
      <c r="K587" s="197">
        <v>21</v>
      </c>
      <c r="L587" s="180"/>
      <c r="M587" s="180"/>
      <c r="N587" s="136"/>
    </row>
    <row r="588" spans="2:14">
      <c r="B588" s="11" t="s">
        <v>53</v>
      </c>
      <c r="C588" s="143">
        <v>30</v>
      </c>
      <c r="D588" s="174">
        <v>22.05</v>
      </c>
      <c r="E588" s="11">
        <v>0.6</v>
      </c>
      <c r="F588" s="11">
        <v>1.1000000000000001</v>
      </c>
      <c r="G588" s="11">
        <v>1.03</v>
      </c>
      <c r="H588" s="11">
        <v>1.4</v>
      </c>
      <c r="I588" s="144">
        <f t="shared" si="53"/>
        <v>16.43159</v>
      </c>
      <c r="J588" s="173"/>
      <c r="K588" s="197">
        <v>21</v>
      </c>
      <c r="L588" s="180"/>
      <c r="M588" s="180"/>
      <c r="N588" s="136"/>
    </row>
    <row r="589" spans="2:14">
      <c r="B589" s="11" t="s">
        <v>55</v>
      </c>
      <c r="C589" s="143">
        <v>40</v>
      </c>
      <c r="D589" s="174">
        <f>24.06+((48.3+2*40)/1000)*3.14*53.91</f>
        <v>45.778290420000005</v>
      </c>
      <c r="E589" s="11">
        <v>0.6</v>
      </c>
      <c r="F589" s="11">
        <v>1.1000000000000001</v>
      </c>
      <c r="G589" s="11">
        <v>1.03</v>
      </c>
      <c r="H589" s="11">
        <v>1.69</v>
      </c>
      <c r="I589" s="144">
        <f t="shared" si="53"/>
        <v>32.860781827516007</v>
      </c>
      <c r="J589" s="173"/>
      <c r="K589" s="197">
        <f>21+((48.3+2*40)/1000)*3.14*43</f>
        <v>38.323066000000004</v>
      </c>
      <c r="L589" s="180"/>
      <c r="M589" s="180"/>
      <c r="N589" s="136"/>
    </row>
    <row r="590" spans="2:14">
      <c r="B590" s="11" t="s">
        <v>57</v>
      </c>
      <c r="C590" s="143">
        <v>50</v>
      </c>
      <c r="D590" s="174">
        <f>35.47+((60.3+2*50)/1000)*3.14*124.17</f>
        <v>97.96997614</v>
      </c>
      <c r="E590" s="11">
        <v>0.6</v>
      </c>
      <c r="F590" s="11">
        <v>1.1499999999999999</v>
      </c>
      <c r="G590" s="11">
        <v>1.03</v>
      </c>
      <c r="H590" s="11">
        <v>2.0499999999999998</v>
      </c>
      <c r="I590" s="144">
        <f t="shared" si="53"/>
        <v>71.738762042697999</v>
      </c>
      <c r="J590" s="173"/>
      <c r="K590" s="197">
        <f>21+((60.3+2*50)/1000)*3.14*43</f>
        <v>42.643706000000002</v>
      </c>
      <c r="L590" s="180"/>
      <c r="M590" s="180"/>
      <c r="N590" s="136"/>
    </row>
    <row r="591" spans="2:14">
      <c r="B591" s="11" t="s">
        <v>59</v>
      </c>
      <c r="C591" s="143">
        <v>70</v>
      </c>
      <c r="D591" s="174">
        <f>50.57+((76.1+2*50)/1000)*3.14*124.17+((76.1+2*70)/1000)*3.14*124.17</f>
        <v>203.48634836000002</v>
      </c>
      <c r="E591" s="11">
        <v>0.6</v>
      </c>
      <c r="F591" s="11">
        <v>1.1499999999999999</v>
      </c>
      <c r="G591" s="11">
        <v>1.03</v>
      </c>
      <c r="H591" s="11">
        <v>2.59</v>
      </c>
      <c r="I591" s="144">
        <f t="shared" si="53"/>
        <v>147.285447779452</v>
      </c>
      <c r="J591" s="173"/>
      <c r="K591" s="197">
        <f>21+((76.1+2*60)/1000)*3.14*43+((76.1+2*70)/1000)*3.14*43</f>
        <v>76.65524400000001</v>
      </c>
      <c r="L591" s="180"/>
      <c r="M591" s="180"/>
      <c r="N591" s="136"/>
    </row>
    <row r="592" spans="2:14">
      <c r="B592" s="11" t="s">
        <v>60</v>
      </c>
      <c r="C592" s="143">
        <v>80</v>
      </c>
      <c r="D592" s="174">
        <f>68.16+((88.9+2*50)/1000)*3.14*124.17+((88.9+2*70)/1000)*3.14*124.17+((88.9+2*80)/1000)*3.14*53.91</f>
        <v>273.19077449999997</v>
      </c>
      <c r="E592" s="11">
        <v>0.6</v>
      </c>
      <c r="F592" s="11">
        <v>1.1499999999999999</v>
      </c>
      <c r="G592" s="11">
        <v>1.03</v>
      </c>
      <c r="H592" s="11">
        <v>3.14</v>
      </c>
      <c r="I592" s="144">
        <f t="shared" si="53"/>
        <v>197.39088343714994</v>
      </c>
      <c r="J592" s="173"/>
      <c r="K592" s="197">
        <f>26+((88.9+2*60)/1000)*3.14*43+((88.9+2*80)/1000)*3.14*43</f>
        <v>87.812156000000016</v>
      </c>
      <c r="L592" s="180"/>
      <c r="M592" s="180"/>
      <c r="N592" s="136"/>
    </row>
    <row r="593" spans="2:14">
      <c r="B593" s="11" t="s">
        <v>62</v>
      </c>
      <c r="C593" s="143">
        <v>100</v>
      </c>
      <c r="D593" s="174">
        <f>86.34+((114.3+2*50)/1000)*3.14*124.17+((114.3+2*70)/1000)*3.14*124.17+((114.3+2*90)/1000)*3.14*124.17+((114.3+2*100)/1000)*3.14*53.91</f>
        <v>436.99386684000001</v>
      </c>
      <c r="E593" s="11">
        <v>0.6</v>
      </c>
      <c r="F593" s="11">
        <v>1.1499999999999999</v>
      </c>
      <c r="G593" s="11">
        <v>1.03</v>
      </c>
      <c r="H593" s="11">
        <v>3.86</v>
      </c>
      <c r="I593" s="144">
        <f t="shared" si="53"/>
        <v>314.54734116318798</v>
      </c>
      <c r="J593" s="173"/>
      <c r="K593" s="197">
        <f>26+((114.3+2*60)/1000)*3.14*43+((114.3+2*90)/1000)*3.14*43+((114.3+2*100)/1000)*3.14*43</f>
        <v>139.80835800000003</v>
      </c>
      <c r="L593" s="180"/>
      <c r="M593" s="180"/>
      <c r="N593" s="136"/>
    </row>
    <row r="594" spans="2:14">
      <c r="B594" s="11" t="s">
        <v>63</v>
      </c>
      <c r="C594" s="143">
        <v>100</v>
      </c>
      <c r="D594" s="174">
        <f>((139.7+2*20)/1000)*3.14*124.17+((139.7+2*40)/1000)*3.14*124.17+((139.7+2*60)/1000)*3.14*124.17+((139.7+2*80)/1000)*3.14*124.17+((139.7+2*100)/1000)*3.14*124.17</f>
        <v>506.27709930000009</v>
      </c>
      <c r="E594" s="11">
        <v>0.6</v>
      </c>
      <c r="F594" s="11">
        <v>1.1499999999999999</v>
      </c>
      <c r="G594" s="11">
        <v>1.03</v>
      </c>
      <c r="H594" s="11">
        <v>4.7699999999999996</v>
      </c>
      <c r="I594" s="144">
        <f t="shared" si="53"/>
        <v>364.72423447251003</v>
      </c>
      <c r="J594" s="173"/>
      <c r="K594" s="197">
        <f>((139.7+2*30)/1000)*3.14*43+((139.7+2*60)/1000)*3.14*43+((139.7+2*90)/1000)*3.14*43+((139.7+2*100)/1000)*3.14*43</f>
        <v>151.06037599999999</v>
      </c>
      <c r="L594" s="180"/>
      <c r="M594" s="180"/>
      <c r="N594" s="136"/>
    </row>
    <row r="595" spans="2:14">
      <c r="B595" s="11" t="s">
        <v>66</v>
      </c>
      <c r="C595" s="143">
        <v>100</v>
      </c>
      <c r="D595" s="174">
        <f>((168.3+2*20)/1000)*3.14*124.17+((168.3+2*40)/1000)*3.14*124.17+((168.3+2*60)/1000)*3.14*124.17+((168.3+2*80)/1000)*3.14*124.17+((168.3+2*100)/1000)*3.14*124.17</f>
        <v>562.03191270000002</v>
      </c>
      <c r="E595" s="11">
        <v>0.6</v>
      </c>
      <c r="F595" s="11">
        <v>1.1499999999999999</v>
      </c>
      <c r="G595" s="11">
        <v>1.03</v>
      </c>
      <c r="H595" s="11">
        <v>5.67</v>
      </c>
      <c r="I595" s="144">
        <f t="shared" si="53"/>
        <v>405.27618035589001</v>
      </c>
      <c r="J595" s="173"/>
      <c r="K595" s="197">
        <f>((168.3+2*30)/1000)*3.14*43+((168.3+2*60)/1000)*3.14*43+((168.3+2*90)/1000)*3.14*43+((168.3+2*100)/1000)*3.14*43</f>
        <v>166.506664</v>
      </c>
      <c r="L595" s="180"/>
      <c r="M595" s="180"/>
      <c r="N595" s="136"/>
    </row>
    <row r="596" spans="2:14">
      <c r="B596" s="11" t="s">
        <v>121</v>
      </c>
      <c r="C596" s="143">
        <v>100</v>
      </c>
      <c r="D596" s="174">
        <f>((219.1+2*20)/1000)*3.14*124.17+((219.1+2*40)/1000)*3.14*124.17+((219.1+2*60)/1000)*3.14*124.17+((219.1+2*80)/1000)*3.14*124.17+((219.1+2*100)/1000)*3.14*124.17</f>
        <v>661.06493790000013</v>
      </c>
      <c r="E596" s="11">
        <v>0.6</v>
      </c>
      <c r="F596" s="11">
        <v>1.1499999999999999</v>
      </c>
      <c r="G596" s="11">
        <v>1.03</v>
      </c>
      <c r="H596" s="11">
        <v>7.48</v>
      </c>
      <c r="I596" s="144">
        <f t="shared" si="53"/>
        <v>477.52325136553003</v>
      </c>
      <c r="J596" s="173"/>
      <c r="K596" s="197">
        <f>((219.1+2*30)/1000)*3.14*43+((219.1+2*60)/1000)*3.14*43+((219.1+2*90)/1000)*3.14*43+((219.1+2*100)/1000)*3.14*43</f>
        <v>193.94272800000002</v>
      </c>
      <c r="L596" s="180"/>
      <c r="M596" s="180"/>
      <c r="N596" s="136"/>
    </row>
    <row r="597" spans="2:14">
      <c r="B597" s="11" t="s">
        <v>122</v>
      </c>
      <c r="C597" s="143">
        <v>100</v>
      </c>
      <c r="D597" s="174">
        <f>((273+2*20)/1000)*3.14*124.17+((273+2*40)/1000)*3.14*124.17+((273+2*60)/1000)*3.14*124.17+((273+2*80)/1000)*3.14*124.17+((273+2*100)/1000)*3.14*124.17</f>
        <v>766.14131700000007</v>
      </c>
      <c r="E597" s="11">
        <v>0.6</v>
      </c>
      <c r="F597" s="11">
        <v>1.1499999999999999</v>
      </c>
      <c r="G597" s="11">
        <v>1.03</v>
      </c>
      <c r="H597" s="11">
        <v>9.2899999999999991</v>
      </c>
      <c r="I597" s="144">
        <f t="shared" si="53"/>
        <v>554.06533399189993</v>
      </c>
      <c r="J597" s="173"/>
      <c r="K597" s="197">
        <f>((273+2*30)/1000)*3.14*43+((273+2*60)/1000)*3.14*43+((273+2*90)/1000)*3.14*43+((273+2*100)/1000)*3.14*43</f>
        <v>223.05304000000001</v>
      </c>
      <c r="L597" s="180"/>
      <c r="M597" s="180"/>
      <c r="N597" s="136"/>
    </row>
    <row r="598" spans="2:14">
      <c r="B598" s="11" t="s">
        <v>156</v>
      </c>
      <c r="C598" s="143">
        <v>100</v>
      </c>
      <c r="D598" s="174">
        <f>((323.9+2*20)/1000)*3.14*124.17+((323.9+2*40)/1000)*3.14*124.17+((323.9+2*60)/1000)*3.14*124.17+((323.9+2*80)/1000)*3.14*124.17+((323.9+2*100)/1000)*3.14*124.17</f>
        <v>865.36928910000017</v>
      </c>
      <c r="E598" s="11">
        <v>0.6</v>
      </c>
      <c r="F598" s="11">
        <v>1.1499999999999999</v>
      </c>
      <c r="G598" s="11">
        <v>1.03</v>
      </c>
      <c r="H598" s="11">
        <v>10.5</v>
      </c>
      <c r="I598" s="144">
        <f t="shared" si="53"/>
        <v>625.83295376337003</v>
      </c>
      <c r="J598" s="173"/>
      <c r="K598" s="197">
        <f>((323.9+2*30)/1000)*3.14*43+((323.9+2*60)/1000)*3.14*43+((323.9+2*90)/1000)*3.14*43+((323.9+2*100)/1000)*3.14*43</f>
        <v>250.54311200000001</v>
      </c>
      <c r="L598" s="180"/>
      <c r="M598" s="180"/>
      <c r="N598" s="136"/>
    </row>
    <row r="599" spans="2:14">
      <c r="B599" s="11" t="s">
        <v>158</v>
      </c>
      <c r="C599" s="143">
        <v>100</v>
      </c>
      <c r="D599" s="174">
        <f>((355.6+2*20)/1000)*3.14*124.17+((355.6+2*40)/1000)*3.14*124.17+((355.6+2*60)/1000)*3.14*124.17+((355.6+2*80)/1000)*3.14*124.17+((355.6+2*100)/1000)*3.14*124.17</f>
        <v>927.16745640000011</v>
      </c>
      <c r="E599" s="11">
        <v>0.6</v>
      </c>
      <c r="F599" s="11">
        <v>1.1499999999999999</v>
      </c>
      <c r="G599" s="11">
        <v>1.03</v>
      </c>
      <c r="H599" s="11">
        <v>12.5</v>
      </c>
      <c r="I599" s="144">
        <f t="shared" si="53"/>
        <v>671.81291126348003</v>
      </c>
      <c r="J599" s="198"/>
      <c r="K599" s="195">
        <f>((355.6+2*30)/1000)*3.14*43+((355.6+2*60)/1000)*3.14*43+((355.6+2*90)/1000)*3.14*43+((355.6+2*100)/1000)*3.14*43</f>
        <v>267.66364800000002</v>
      </c>
      <c r="L599" s="180"/>
      <c r="M599" s="180"/>
      <c r="N599" s="136"/>
    </row>
    <row r="600" spans="2:14">
      <c r="C600" s="136"/>
      <c r="D600" s="178"/>
      <c r="I600" s="138"/>
      <c r="J600" s="138"/>
      <c r="K600" s="179"/>
      <c r="L600" s="180"/>
      <c r="M600" s="180"/>
      <c r="N600" s="136"/>
    </row>
    <row r="601" spans="2:14">
      <c r="C601" s="136"/>
      <c r="D601" s="178"/>
      <c r="I601" s="138"/>
      <c r="J601" s="138"/>
      <c r="K601" s="179"/>
      <c r="L601" s="180"/>
      <c r="M601" s="180"/>
      <c r="N601" s="136"/>
    </row>
    <row r="602" spans="2:14">
      <c r="C602" s="136"/>
      <c r="D602" s="178"/>
      <c r="I602" s="138"/>
      <c r="J602" s="138"/>
      <c r="K602" s="179"/>
      <c r="L602" s="180"/>
      <c r="M602" s="180"/>
      <c r="N602" s="136"/>
    </row>
    <row r="603" spans="2:14">
      <c r="C603" s="136"/>
      <c r="D603" s="178"/>
      <c r="I603" s="138"/>
      <c r="J603" s="138"/>
      <c r="K603" s="179"/>
      <c r="L603" s="180"/>
      <c r="M603" s="180"/>
      <c r="N603" s="136"/>
    </row>
    <row r="604" spans="2:14">
      <c r="C604" s="136"/>
      <c r="D604" s="178"/>
      <c r="I604" s="138"/>
      <c r="J604" s="138"/>
      <c r="K604" s="179"/>
      <c r="L604" s="180"/>
      <c r="M604" s="180"/>
      <c r="N604" s="136"/>
    </row>
    <row r="605" spans="2:14">
      <c r="B605" s="28" t="s">
        <v>884</v>
      </c>
      <c r="C605" s="136"/>
      <c r="D605" s="178"/>
      <c r="I605" s="138"/>
      <c r="J605" s="138"/>
      <c r="K605" s="179"/>
      <c r="L605" s="180"/>
      <c r="M605" s="180"/>
      <c r="N605" s="136"/>
    </row>
    <row r="606" spans="2:14">
      <c r="C606" s="136"/>
      <c r="D606" s="178"/>
      <c r="I606" s="138"/>
      <c r="J606" s="138"/>
      <c r="K606" s="179"/>
      <c r="L606" s="180"/>
      <c r="M606" s="180"/>
      <c r="N606" s="136"/>
    </row>
    <row r="607" spans="2:14">
      <c r="B607" s="28" t="s">
        <v>805</v>
      </c>
      <c r="C607" s="134" t="s">
        <v>806</v>
      </c>
      <c r="D607" s="133" t="s">
        <v>897</v>
      </c>
      <c r="I607" s="138"/>
      <c r="J607" s="138"/>
      <c r="K607" s="136"/>
      <c r="L607" s="180"/>
      <c r="M607" s="180"/>
      <c r="N607" s="136"/>
    </row>
    <row r="608" spans="2:14">
      <c r="B608" s="11" t="s">
        <v>769</v>
      </c>
      <c r="C608" s="143" t="s">
        <v>770</v>
      </c>
      <c r="D608" s="92" t="s">
        <v>771</v>
      </c>
      <c r="E608" s="11" t="s">
        <v>613</v>
      </c>
      <c r="F608" s="11" t="s">
        <v>772</v>
      </c>
      <c r="G608" s="11" t="s">
        <v>773</v>
      </c>
      <c r="H608" s="11" t="s">
        <v>774</v>
      </c>
      <c r="I608" s="147" t="s">
        <v>771</v>
      </c>
      <c r="J608" s="171"/>
      <c r="K608" s="168" t="s">
        <v>775</v>
      </c>
      <c r="L608" s="180"/>
      <c r="M608" s="180"/>
      <c r="N608" s="136"/>
    </row>
    <row r="609" spans="2:14">
      <c r="B609" s="11" t="s">
        <v>47</v>
      </c>
      <c r="C609" s="143">
        <v>20</v>
      </c>
      <c r="D609" s="92">
        <v>8.7899999999999991</v>
      </c>
      <c r="E609" s="11">
        <v>0.7</v>
      </c>
      <c r="F609" s="11">
        <v>1.1000000000000001</v>
      </c>
      <c r="G609" s="11">
        <v>1.03</v>
      </c>
      <c r="H609" s="11">
        <v>1.01</v>
      </c>
      <c r="I609" s="144">
        <f>(((D609*E609)*F609)+H609)*G609</f>
        <v>8.0116489999999985</v>
      </c>
      <c r="J609" s="173"/>
      <c r="K609" s="197">
        <v>21</v>
      </c>
      <c r="L609" s="180"/>
      <c r="M609" s="180"/>
      <c r="N609" s="136"/>
    </row>
    <row r="610" spans="2:14">
      <c r="B610" s="11" t="s">
        <v>49</v>
      </c>
      <c r="C610" s="143">
        <v>20</v>
      </c>
      <c r="D610" s="92">
        <v>9.26</v>
      </c>
      <c r="E610" s="11">
        <v>0.7</v>
      </c>
      <c r="F610" s="11">
        <v>1.1000000000000001</v>
      </c>
      <c r="G610" s="11">
        <v>1.03</v>
      </c>
      <c r="H610" s="11">
        <v>1.01</v>
      </c>
      <c r="I610" s="144">
        <f t="shared" ref="I610:I623" si="54">(((D610*E610)*F610)+H610)*G610</f>
        <v>8.3844060000000002</v>
      </c>
      <c r="J610" s="173"/>
      <c r="K610" s="197">
        <v>21</v>
      </c>
      <c r="L610" s="180"/>
      <c r="M610" s="180"/>
      <c r="N610" s="136"/>
    </row>
    <row r="611" spans="2:14">
      <c r="B611" s="11" t="s">
        <v>51</v>
      </c>
      <c r="C611" s="143">
        <v>30</v>
      </c>
      <c r="D611" s="92">
        <v>12.57</v>
      </c>
      <c r="E611" s="11">
        <v>0.7</v>
      </c>
      <c r="F611" s="11">
        <v>1.1000000000000001</v>
      </c>
      <c r="G611" s="11">
        <v>1.03</v>
      </c>
      <c r="H611" s="11">
        <v>1.4</v>
      </c>
      <c r="I611" s="144">
        <f t="shared" si="54"/>
        <v>11.411267</v>
      </c>
      <c r="J611" s="173"/>
      <c r="K611" s="197">
        <v>21</v>
      </c>
      <c r="L611" s="180"/>
      <c r="M611" s="180"/>
      <c r="N611" s="136"/>
    </row>
    <row r="612" spans="2:14">
      <c r="B612" s="11" t="s">
        <v>53</v>
      </c>
      <c r="C612" s="143">
        <v>30</v>
      </c>
      <c r="D612" s="92">
        <v>14.94</v>
      </c>
      <c r="E612" s="11">
        <v>0.7</v>
      </c>
      <c r="F612" s="11">
        <v>1.1000000000000001</v>
      </c>
      <c r="G612" s="11">
        <v>1.03</v>
      </c>
      <c r="H612" s="11">
        <v>1.4</v>
      </c>
      <c r="I612" s="144">
        <f t="shared" si="54"/>
        <v>13.290914000000001</v>
      </c>
      <c r="J612" s="173"/>
      <c r="K612" s="197">
        <v>21</v>
      </c>
      <c r="L612" s="180"/>
      <c r="M612" s="180"/>
      <c r="N612" s="136"/>
    </row>
    <row r="613" spans="2:14">
      <c r="B613" s="11" t="s">
        <v>55</v>
      </c>
      <c r="C613" s="143">
        <v>40</v>
      </c>
      <c r="D613" s="92">
        <v>21.36</v>
      </c>
      <c r="E613" s="11">
        <v>0.7</v>
      </c>
      <c r="F613" s="11">
        <v>1.1000000000000001</v>
      </c>
      <c r="G613" s="11">
        <v>1.03</v>
      </c>
      <c r="H613" s="11">
        <v>1.69</v>
      </c>
      <c r="I613" s="144">
        <f t="shared" si="54"/>
        <v>18.681315999999999</v>
      </c>
      <c r="J613" s="173"/>
      <c r="K613" s="197">
        <v>21</v>
      </c>
      <c r="L613" s="180"/>
      <c r="M613" s="180"/>
      <c r="N613" s="136"/>
    </row>
    <row r="614" spans="2:14">
      <c r="B614" s="11" t="s">
        <v>57</v>
      </c>
      <c r="C614" s="143">
        <v>50</v>
      </c>
      <c r="D614" s="92">
        <v>32.39</v>
      </c>
      <c r="E614" s="11">
        <v>0.7</v>
      </c>
      <c r="F614" s="11">
        <v>1.1499999999999999</v>
      </c>
      <c r="G614" s="11">
        <v>1.03</v>
      </c>
      <c r="H614" s="11">
        <v>2.0499999999999998</v>
      </c>
      <c r="I614" s="144">
        <f t="shared" si="54"/>
        <v>28.967668499999998</v>
      </c>
      <c r="J614" s="173"/>
      <c r="K614" s="197">
        <v>21</v>
      </c>
      <c r="L614" s="180"/>
      <c r="M614" s="180"/>
      <c r="N614" s="136"/>
    </row>
    <row r="615" spans="2:14">
      <c r="B615" s="11" t="s">
        <v>59</v>
      </c>
      <c r="C615" s="143">
        <v>70</v>
      </c>
      <c r="D615" s="92">
        <v>65.77</v>
      </c>
      <c r="E615" s="11">
        <v>0.7</v>
      </c>
      <c r="F615" s="11">
        <v>1.1499999999999999</v>
      </c>
      <c r="G615" s="11">
        <v>1.03</v>
      </c>
      <c r="H615" s="11">
        <v>2.59</v>
      </c>
      <c r="I615" s="144">
        <f t="shared" si="54"/>
        <v>57.200895499999994</v>
      </c>
      <c r="J615" s="173"/>
      <c r="K615" s="197">
        <v>21</v>
      </c>
      <c r="L615" s="180"/>
      <c r="M615" s="180"/>
      <c r="N615" s="136"/>
    </row>
    <row r="616" spans="2:14">
      <c r="B616" s="11" t="s">
        <v>60</v>
      </c>
      <c r="C616" s="143">
        <v>80</v>
      </c>
      <c r="D616" s="92">
        <v>92.57</v>
      </c>
      <c r="E616" s="11">
        <v>0.7</v>
      </c>
      <c r="F616" s="11">
        <v>1.1499999999999999</v>
      </c>
      <c r="G616" s="11">
        <v>1.03</v>
      </c>
      <c r="H616" s="11">
        <v>3.14</v>
      </c>
      <c r="I616" s="144">
        <f t="shared" si="54"/>
        <v>79.988615499999995</v>
      </c>
      <c r="J616" s="173"/>
      <c r="K616" s="197">
        <v>26</v>
      </c>
      <c r="L616" s="180"/>
      <c r="M616" s="180"/>
      <c r="N616" s="136"/>
    </row>
    <row r="617" spans="2:14">
      <c r="B617" s="11" t="s">
        <v>62</v>
      </c>
      <c r="C617" s="143">
        <v>100</v>
      </c>
      <c r="D617" s="92">
        <v>129.06</v>
      </c>
      <c r="E617" s="11">
        <v>0.7</v>
      </c>
      <c r="F617" s="11">
        <v>1.1499999999999999</v>
      </c>
      <c r="G617" s="11">
        <v>1.03</v>
      </c>
      <c r="H617" s="11">
        <v>3.86</v>
      </c>
      <c r="I617" s="144">
        <f t="shared" si="54"/>
        <v>110.985899</v>
      </c>
      <c r="J617" s="173"/>
      <c r="K617" s="197">
        <v>26</v>
      </c>
      <c r="L617" s="180"/>
      <c r="M617" s="180"/>
      <c r="N617" s="136"/>
    </row>
    <row r="618" spans="2:14">
      <c r="B618" s="11" t="s">
        <v>63</v>
      </c>
      <c r="C618" s="143">
        <v>100</v>
      </c>
      <c r="D618" s="92">
        <v>139.44</v>
      </c>
      <c r="E618" s="11">
        <v>0.7</v>
      </c>
      <c r="F618" s="11">
        <v>1.1499999999999999</v>
      </c>
      <c r="G618" s="11">
        <v>1.03</v>
      </c>
      <c r="H618" s="11">
        <v>4.7699999999999996</v>
      </c>
      <c r="I618" s="144">
        <f t="shared" si="54"/>
        <v>120.52977599999997</v>
      </c>
      <c r="J618" s="173"/>
      <c r="K618" s="197">
        <v>28</v>
      </c>
      <c r="L618" s="180"/>
      <c r="M618" s="180"/>
      <c r="N618" s="136"/>
    </row>
    <row r="619" spans="2:14">
      <c r="B619" s="11" t="s">
        <v>66</v>
      </c>
      <c r="C619" s="143">
        <v>100</v>
      </c>
      <c r="D619" s="92">
        <v>168.79</v>
      </c>
      <c r="E619" s="11">
        <v>0.7</v>
      </c>
      <c r="F619" s="11">
        <v>1.1499999999999999</v>
      </c>
      <c r="G619" s="11">
        <v>1.03</v>
      </c>
      <c r="H619" s="11">
        <v>5.67</v>
      </c>
      <c r="I619" s="144">
        <f t="shared" si="54"/>
        <v>145.79232849999997</v>
      </c>
      <c r="J619" s="173"/>
      <c r="K619" s="197">
        <v>28</v>
      </c>
      <c r="L619" s="180"/>
      <c r="M619" s="180"/>
      <c r="N619" s="136"/>
    </row>
    <row r="620" spans="2:14">
      <c r="B620" s="11" t="s">
        <v>121</v>
      </c>
      <c r="C620" s="143">
        <v>100</v>
      </c>
      <c r="D620" s="92">
        <v>214.69</v>
      </c>
      <c r="E620" s="11">
        <v>0.7</v>
      </c>
      <c r="F620" s="11">
        <v>1.1499999999999999</v>
      </c>
      <c r="G620" s="11">
        <v>1.03</v>
      </c>
      <c r="H620" s="11">
        <v>7.48</v>
      </c>
      <c r="I620" s="144">
        <f t="shared" si="54"/>
        <v>185.71461349999996</v>
      </c>
      <c r="J620" s="173"/>
      <c r="K620" s="197">
        <v>28</v>
      </c>
      <c r="L620" s="180"/>
      <c r="M620" s="180"/>
      <c r="N620" s="136"/>
    </row>
    <row r="621" spans="2:14">
      <c r="B621" s="11" t="s">
        <v>122</v>
      </c>
      <c r="C621" s="143">
        <v>100</v>
      </c>
      <c r="D621" s="92">
        <v>227.98</v>
      </c>
      <c r="E621" s="11">
        <v>0.7</v>
      </c>
      <c r="F621" s="11">
        <v>1.1499999999999999</v>
      </c>
      <c r="G621" s="11">
        <v>1.03</v>
      </c>
      <c r="H621" s="11">
        <v>9.2899999999999991</v>
      </c>
      <c r="I621" s="144">
        <f t="shared" si="54"/>
        <v>198.59831699999995</v>
      </c>
      <c r="J621" s="173"/>
      <c r="K621" s="197">
        <v>28</v>
      </c>
      <c r="L621" s="180"/>
      <c r="M621" s="180"/>
      <c r="N621" s="136"/>
    </row>
    <row r="622" spans="2:14">
      <c r="B622" s="11" t="s">
        <v>156</v>
      </c>
      <c r="C622" s="143">
        <v>100</v>
      </c>
      <c r="D622" s="92">
        <v>296.89999999999998</v>
      </c>
      <c r="E622" s="11">
        <v>0.7</v>
      </c>
      <c r="F622" s="11">
        <v>1.1499999999999999</v>
      </c>
      <c r="G622" s="11">
        <v>1.03</v>
      </c>
      <c r="H622" s="11">
        <v>10.5</v>
      </c>
      <c r="I622" s="144">
        <f t="shared" si="54"/>
        <v>256.98963499999996</v>
      </c>
      <c r="J622" s="173"/>
      <c r="K622" s="197">
        <v>32</v>
      </c>
      <c r="L622" s="180"/>
      <c r="M622" s="180"/>
      <c r="N622" s="136"/>
    </row>
    <row r="623" spans="2:14">
      <c r="B623" s="11" t="s">
        <v>158</v>
      </c>
      <c r="C623" s="143">
        <v>100</v>
      </c>
      <c r="D623" s="92">
        <v>355.07</v>
      </c>
      <c r="E623" s="11">
        <v>0.7</v>
      </c>
      <c r="F623" s="11">
        <v>1.1499999999999999</v>
      </c>
      <c r="G623" s="11">
        <v>1.03</v>
      </c>
      <c r="H623" s="11">
        <v>12.5</v>
      </c>
      <c r="I623" s="144">
        <f t="shared" si="54"/>
        <v>307.28129049999995</v>
      </c>
      <c r="J623" s="173"/>
      <c r="K623" s="197">
        <v>32</v>
      </c>
      <c r="L623" s="180"/>
      <c r="M623" s="180"/>
      <c r="N623" s="136"/>
    </row>
    <row r="624" spans="2:14">
      <c r="C624" s="136"/>
      <c r="D624" s="178"/>
      <c r="I624" s="138"/>
      <c r="J624" s="138"/>
      <c r="K624" s="179"/>
      <c r="L624" s="180"/>
      <c r="M624" s="180"/>
      <c r="N624" s="136"/>
    </row>
    <row r="625" spans="2:14">
      <c r="C625" s="136"/>
      <c r="D625" s="178"/>
      <c r="I625" s="138"/>
      <c r="J625" s="138"/>
      <c r="K625" s="179"/>
      <c r="L625" s="180"/>
      <c r="M625" s="180"/>
      <c r="N625" s="136"/>
    </row>
    <row r="626" spans="2:14">
      <c r="C626" s="136"/>
      <c r="D626" s="178"/>
      <c r="I626" s="138"/>
      <c r="J626" s="138"/>
      <c r="K626" s="179"/>
      <c r="L626" s="180"/>
      <c r="M626" s="180"/>
      <c r="N626" s="136"/>
    </row>
    <row r="627" spans="2:14">
      <c r="B627" s="28" t="s">
        <v>766</v>
      </c>
      <c r="C627" s="134" t="s">
        <v>767</v>
      </c>
      <c r="D627" s="203" t="s">
        <v>898</v>
      </c>
      <c r="I627" s="138"/>
      <c r="J627" s="138"/>
      <c r="K627" s="179"/>
      <c r="L627" s="180"/>
      <c r="M627" s="180"/>
      <c r="N627" s="136"/>
    </row>
    <row r="628" spans="2:14">
      <c r="B628" s="11" t="s">
        <v>769</v>
      </c>
      <c r="C628" s="143" t="s">
        <v>770</v>
      </c>
      <c r="D628" s="174" t="s">
        <v>771</v>
      </c>
      <c r="E628" s="11" t="s">
        <v>613</v>
      </c>
      <c r="F628" s="11" t="s">
        <v>772</v>
      </c>
      <c r="G628" s="11" t="s">
        <v>773</v>
      </c>
      <c r="H628" s="11" t="s">
        <v>774</v>
      </c>
      <c r="I628" s="147" t="s">
        <v>771</v>
      </c>
      <c r="J628" s="147"/>
      <c r="K628" s="191" t="s">
        <v>775</v>
      </c>
      <c r="L628" s="180"/>
      <c r="M628" s="180"/>
      <c r="N628" s="136"/>
    </row>
    <row r="629" spans="2:14">
      <c r="B629" s="11">
        <v>15</v>
      </c>
      <c r="C629" s="143">
        <v>25</v>
      </c>
      <c r="D629" s="174">
        <f>23.78*1.2</f>
        <v>28.536000000000001</v>
      </c>
      <c r="E629" s="11">
        <v>0.6</v>
      </c>
      <c r="F629" s="11">
        <v>1.1000000000000001</v>
      </c>
      <c r="G629" s="11">
        <v>1.03</v>
      </c>
      <c r="H629" s="11">
        <v>1.01</v>
      </c>
      <c r="I629" s="144">
        <f>(((D629*E629)*F629)+H629)*G629</f>
        <v>20.439072800000005</v>
      </c>
      <c r="J629" s="173"/>
      <c r="K629" s="197">
        <v>21</v>
      </c>
      <c r="L629" s="180"/>
      <c r="M629" s="180"/>
      <c r="N629" s="136"/>
    </row>
    <row r="630" spans="2:14">
      <c r="B630" s="11">
        <v>18</v>
      </c>
      <c r="C630" s="143">
        <v>25</v>
      </c>
      <c r="D630" s="174">
        <f>23.78*1.2</f>
        <v>28.536000000000001</v>
      </c>
      <c r="E630" s="11">
        <v>0.6</v>
      </c>
      <c r="F630" s="11">
        <v>1.1000000000000001</v>
      </c>
      <c r="G630" s="11">
        <v>1.03</v>
      </c>
      <c r="H630" s="11">
        <v>1.01</v>
      </c>
      <c r="I630" s="144">
        <f t="shared" ref="I630:I637" si="55">(((D630*E630)*F630)+H630)*G630</f>
        <v>20.439072800000005</v>
      </c>
      <c r="J630" s="173"/>
      <c r="K630" s="197">
        <v>21</v>
      </c>
      <c r="L630" s="180"/>
      <c r="M630" s="180"/>
      <c r="N630" s="136"/>
    </row>
    <row r="631" spans="2:14">
      <c r="B631" s="11">
        <v>22</v>
      </c>
      <c r="C631" s="143">
        <v>25</v>
      </c>
      <c r="D631" s="174">
        <f>23.78*1.2</f>
        <v>28.536000000000001</v>
      </c>
      <c r="E631" s="11">
        <v>0.6</v>
      </c>
      <c r="F631" s="11">
        <v>1.1000000000000001</v>
      </c>
      <c r="G631" s="11">
        <v>1.03</v>
      </c>
      <c r="H631" s="11">
        <v>1.4</v>
      </c>
      <c r="I631" s="144">
        <f t="shared" si="55"/>
        <v>20.8407728</v>
      </c>
      <c r="J631" s="173"/>
      <c r="K631" s="197">
        <v>21</v>
      </c>
      <c r="L631" s="180"/>
      <c r="M631" s="180"/>
      <c r="N631" s="136"/>
    </row>
    <row r="632" spans="2:14">
      <c r="B632" s="11">
        <v>28</v>
      </c>
      <c r="C632" s="143">
        <v>30</v>
      </c>
      <c r="D632" s="174">
        <f>33.67*1.2</f>
        <v>40.404000000000003</v>
      </c>
      <c r="E632" s="11">
        <v>0.6</v>
      </c>
      <c r="F632" s="11">
        <v>1.1000000000000001</v>
      </c>
      <c r="G632" s="11">
        <v>1.03</v>
      </c>
      <c r="H632" s="11">
        <v>1.4</v>
      </c>
      <c r="I632" s="144">
        <f t="shared" si="55"/>
        <v>28.9086392</v>
      </c>
      <c r="J632" s="173"/>
      <c r="K632" s="197">
        <v>21</v>
      </c>
      <c r="L632" s="180"/>
      <c r="M632" s="180"/>
      <c r="N632" s="136"/>
    </row>
    <row r="633" spans="2:14">
      <c r="B633" s="11">
        <v>35</v>
      </c>
      <c r="C633" s="143">
        <v>30</v>
      </c>
      <c r="D633" s="174">
        <f>39.01*1.2</f>
        <v>46.811999999999998</v>
      </c>
      <c r="E633" s="11">
        <v>0.6</v>
      </c>
      <c r="F633" s="11">
        <v>1.1000000000000001</v>
      </c>
      <c r="G633" s="11">
        <v>1.03</v>
      </c>
      <c r="H633" s="11">
        <v>1.69</v>
      </c>
      <c r="I633" s="144">
        <f t="shared" si="55"/>
        <v>33.563497600000005</v>
      </c>
      <c r="J633" s="173"/>
      <c r="K633" s="197">
        <v>21</v>
      </c>
      <c r="L633" s="180"/>
      <c r="M633" s="180"/>
      <c r="N633" s="136"/>
    </row>
    <row r="634" spans="2:14">
      <c r="B634" s="11">
        <v>42</v>
      </c>
      <c r="C634" s="143">
        <v>40</v>
      </c>
      <c r="D634" s="174">
        <f>94.88*1.2</f>
        <v>113.85599999999999</v>
      </c>
      <c r="E634" s="11">
        <v>0.6</v>
      </c>
      <c r="F634" s="11">
        <v>1.1499999999999999</v>
      </c>
      <c r="G634" s="11">
        <v>1.03</v>
      </c>
      <c r="H634" s="11">
        <v>2.0499999999999998</v>
      </c>
      <c r="I634" s="144">
        <f t="shared" si="55"/>
        <v>83.028959199999989</v>
      </c>
      <c r="J634" s="173"/>
      <c r="K634" s="197">
        <f>21+15</f>
        <v>36</v>
      </c>
      <c r="L634" s="180"/>
      <c r="M634" s="180"/>
      <c r="N634" s="136"/>
    </row>
    <row r="635" spans="2:14">
      <c r="B635" s="11">
        <v>54</v>
      </c>
      <c r="C635" s="143" t="s">
        <v>899</v>
      </c>
      <c r="D635" s="174">
        <f>(31.15+76.29)*1.2</f>
        <v>128.928</v>
      </c>
      <c r="E635" s="11">
        <v>0.6</v>
      </c>
      <c r="F635" s="11">
        <v>1.1499999999999999</v>
      </c>
      <c r="G635" s="11">
        <v>1.03</v>
      </c>
      <c r="H635" s="11">
        <v>2.59</v>
      </c>
      <c r="I635" s="144">
        <f>(((D635*E635)*F635)+H635)*G635</f>
        <v>94.296829599999981</v>
      </c>
      <c r="J635" s="173"/>
      <c r="K635" s="197">
        <f>21+15</f>
        <v>36</v>
      </c>
      <c r="L635" s="180"/>
      <c r="M635" s="180"/>
      <c r="N635" s="136"/>
    </row>
    <row r="636" spans="2:14">
      <c r="B636" s="11">
        <v>67</v>
      </c>
      <c r="C636" s="143" t="s">
        <v>900</v>
      </c>
      <c r="D636" s="174">
        <f>(67.11+85.74)*1.2</f>
        <v>183.42</v>
      </c>
      <c r="E636" s="11">
        <v>0.6</v>
      </c>
      <c r="F636" s="11">
        <v>1.1499999999999999</v>
      </c>
      <c r="G636" s="11">
        <v>1.03</v>
      </c>
      <c r="H636" s="11">
        <v>3.14</v>
      </c>
      <c r="I636" s="144">
        <f t="shared" si="55"/>
        <v>133.59079399999999</v>
      </c>
      <c r="J636" s="173"/>
      <c r="K636" s="197">
        <f>21+15</f>
        <v>36</v>
      </c>
      <c r="L636" s="180"/>
      <c r="M636" s="180"/>
      <c r="N636" s="136"/>
    </row>
    <row r="637" spans="2:14">
      <c r="B637" s="11">
        <v>76</v>
      </c>
      <c r="C637" s="143" t="s">
        <v>901</v>
      </c>
      <c r="D637" s="174">
        <f>(76.29+169.32)*1.2</f>
        <v>294.73200000000003</v>
      </c>
      <c r="E637" s="11">
        <v>0.6</v>
      </c>
      <c r="F637" s="11">
        <v>1.1499999999999999</v>
      </c>
      <c r="G637" s="11">
        <v>1.03</v>
      </c>
      <c r="H637" s="11">
        <v>3.86</v>
      </c>
      <c r="I637" s="144">
        <f t="shared" si="55"/>
        <v>213.44183240000001</v>
      </c>
      <c r="J637" s="173"/>
      <c r="K637" s="197">
        <f>26+21</f>
        <v>47</v>
      </c>
      <c r="L637" s="180"/>
      <c r="M637" s="180"/>
      <c r="N637" s="136"/>
    </row>
    <row r="638" spans="2:14">
      <c r="B638" s="11">
        <v>88</v>
      </c>
      <c r="C638" s="143" t="s">
        <v>902</v>
      </c>
      <c r="D638" s="174"/>
      <c r="E638" s="11">
        <v>0.6</v>
      </c>
      <c r="F638" s="11">
        <v>1.1499999999999999</v>
      </c>
      <c r="G638" s="11">
        <v>1.03</v>
      </c>
      <c r="H638" s="11">
        <v>4.7699999999999996</v>
      </c>
      <c r="I638" s="144">
        <f>(((D638*E638)*F638)+H638)*G638</f>
        <v>4.9131</v>
      </c>
      <c r="J638" s="173"/>
      <c r="K638" s="197"/>
      <c r="L638" s="180" t="s">
        <v>903</v>
      </c>
      <c r="M638" s="180"/>
      <c r="N638" s="136"/>
    </row>
    <row r="639" spans="2:14">
      <c r="B639" s="11">
        <v>108</v>
      </c>
      <c r="C639" s="143" t="s">
        <v>904</v>
      </c>
      <c r="D639" s="174"/>
      <c r="E639" s="11">
        <v>0.6</v>
      </c>
      <c r="F639" s="11">
        <v>1.1499999999999999</v>
      </c>
      <c r="G639" s="11">
        <v>1.03</v>
      </c>
      <c r="H639" s="11">
        <v>5.67</v>
      </c>
      <c r="I639" s="144">
        <f>(((D639*E639)*F639)+H639)*G639</f>
        <v>5.8401000000000005</v>
      </c>
      <c r="J639" s="173"/>
      <c r="K639" s="197"/>
      <c r="L639" s="180"/>
      <c r="M639" s="180"/>
      <c r="N639" s="136"/>
    </row>
    <row r="640" spans="2:14">
      <c r="B640" s="11"/>
      <c r="C640" s="143"/>
      <c r="D640" s="174"/>
      <c r="E640" s="11">
        <v>0.6</v>
      </c>
      <c r="F640" s="11">
        <v>1.1499999999999999</v>
      </c>
      <c r="G640" s="11">
        <v>1.03</v>
      </c>
      <c r="H640" s="11">
        <v>5.67</v>
      </c>
      <c r="I640" s="144">
        <f>(((D640*E640)*F640)+H640)*G640</f>
        <v>5.8401000000000005</v>
      </c>
      <c r="J640" s="173"/>
      <c r="K640" s="197"/>
      <c r="L640" s="180"/>
      <c r="M640" s="180"/>
      <c r="N640" s="136"/>
    </row>
    <row r="641" spans="2:14">
      <c r="B641" s="11"/>
      <c r="C641" s="143"/>
      <c r="D641" s="174"/>
      <c r="E641" s="11">
        <v>0.6</v>
      </c>
      <c r="F641" s="11">
        <v>1.1499999999999999</v>
      </c>
      <c r="G641" s="11">
        <v>1.03</v>
      </c>
      <c r="H641" s="11">
        <v>5.67</v>
      </c>
      <c r="I641" s="144">
        <f>(((D641*E641)*F641)+H641)*G641</f>
        <v>5.8401000000000005</v>
      </c>
      <c r="J641" s="173"/>
      <c r="K641" s="197"/>
      <c r="L641" s="180"/>
      <c r="M641" s="180"/>
      <c r="N641" s="136"/>
    </row>
    <row r="642" spans="2:14">
      <c r="B642" s="11"/>
      <c r="C642" s="143"/>
      <c r="D642" s="174"/>
      <c r="E642" s="11">
        <v>0.6</v>
      </c>
      <c r="F642" s="11">
        <v>1.1499999999999999</v>
      </c>
      <c r="G642" s="11">
        <v>1.03</v>
      </c>
      <c r="H642" s="11">
        <v>5.67</v>
      </c>
      <c r="I642" s="144">
        <f>(((D642*E642)*F642)+H642)*G642</f>
        <v>5.8401000000000005</v>
      </c>
      <c r="J642" s="198"/>
      <c r="K642" s="195"/>
      <c r="L642" s="180"/>
      <c r="M642" s="180"/>
      <c r="N642" s="136"/>
    </row>
    <row r="643" spans="2:14">
      <c r="C643" s="136"/>
      <c r="D643" s="178"/>
      <c r="I643" s="138"/>
      <c r="J643" s="138"/>
      <c r="K643" s="179"/>
      <c r="L643" s="180"/>
      <c r="M643" s="180"/>
      <c r="N643" s="136"/>
    </row>
    <row r="644" spans="2:14">
      <c r="C644" s="136"/>
      <c r="D644" s="178"/>
      <c r="I644" s="138"/>
      <c r="J644" s="138"/>
      <c r="K644" s="179"/>
      <c r="L644" s="180"/>
      <c r="M644" s="180"/>
      <c r="N644" s="136"/>
    </row>
    <row r="645" spans="2:14">
      <c r="B645" s="28" t="s">
        <v>766</v>
      </c>
      <c r="C645" s="134" t="s">
        <v>905</v>
      </c>
      <c r="D645" s="221" t="s">
        <v>906</v>
      </c>
      <c r="I645" s="138"/>
      <c r="J645" s="138"/>
      <c r="K645" s="179"/>
      <c r="L645" s="180"/>
      <c r="M645" s="180"/>
      <c r="N645" s="136"/>
    </row>
    <row r="646" spans="2:14">
      <c r="B646" s="11" t="s">
        <v>769</v>
      </c>
      <c r="C646" s="143" t="s">
        <v>770</v>
      </c>
      <c r="D646" s="174" t="s">
        <v>771</v>
      </c>
      <c r="E646" s="11" t="s">
        <v>613</v>
      </c>
      <c r="F646" s="11" t="s">
        <v>772</v>
      </c>
      <c r="G646" s="11" t="s">
        <v>773</v>
      </c>
      <c r="H646" s="11" t="s">
        <v>774</v>
      </c>
      <c r="I646" s="147" t="s">
        <v>771</v>
      </c>
      <c r="J646" s="147"/>
      <c r="K646" s="191" t="s">
        <v>775</v>
      </c>
      <c r="L646" s="180"/>
      <c r="M646" s="180"/>
      <c r="N646" s="136"/>
    </row>
    <row r="647" spans="2:14">
      <c r="B647" s="11">
        <v>15</v>
      </c>
      <c r="C647" s="143">
        <v>25</v>
      </c>
      <c r="D647" s="174">
        <v>67.650000000000006</v>
      </c>
      <c r="E647" s="11">
        <v>0.6</v>
      </c>
      <c r="F647" s="11">
        <v>1.1000000000000001</v>
      </c>
      <c r="G647" s="11">
        <v>1.03</v>
      </c>
      <c r="H647" s="11">
        <v>1.01</v>
      </c>
      <c r="I647" s="144">
        <f t="shared" ref="I647:I660" si="56">(((D647*E647)*F647)+H647)*G647</f>
        <v>47.028770000000009</v>
      </c>
      <c r="J647" s="173"/>
      <c r="K647" s="197">
        <v>21</v>
      </c>
      <c r="L647" s="180"/>
      <c r="M647" s="180"/>
      <c r="N647" s="136"/>
    </row>
    <row r="648" spans="2:14">
      <c r="B648" s="11">
        <v>18</v>
      </c>
      <c r="C648" s="143">
        <v>25</v>
      </c>
      <c r="D648" s="174">
        <v>71.66</v>
      </c>
      <c r="E648" s="11">
        <v>0.6</v>
      </c>
      <c r="F648" s="11">
        <v>1.1000000000000001</v>
      </c>
      <c r="G648" s="11">
        <v>1.03</v>
      </c>
      <c r="H648" s="11">
        <v>1.01</v>
      </c>
      <c r="I648" s="144">
        <f t="shared" si="56"/>
        <v>49.754767999999999</v>
      </c>
      <c r="J648" s="173"/>
      <c r="K648" s="197">
        <v>21</v>
      </c>
      <c r="L648" s="180"/>
      <c r="M648" s="180"/>
      <c r="N648" s="136"/>
    </row>
    <row r="649" spans="2:14">
      <c r="B649" s="11">
        <v>22</v>
      </c>
      <c r="C649" s="143">
        <v>25</v>
      </c>
      <c r="D649" s="174">
        <v>71.66</v>
      </c>
      <c r="E649" s="11">
        <v>0.6</v>
      </c>
      <c r="F649" s="11">
        <v>1.1000000000000001</v>
      </c>
      <c r="G649" s="11">
        <v>1.03</v>
      </c>
      <c r="H649" s="11">
        <v>1.4</v>
      </c>
      <c r="I649" s="144">
        <f t="shared" si="56"/>
        <v>50.156467999999997</v>
      </c>
      <c r="J649" s="173"/>
      <c r="K649" s="197">
        <v>21</v>
      </c>
      <c r="L649" s="180"/>
      <c r="M649" s="180"/>
      <c r="N649" s="136"/>
    </row>
    <row r="650" spans="2:14">
      <c r="B650" s="11">
        <v>28</v>
      </c>
      <c r="C650" s="143" t="s">
        <v>907</v>
      </c>
      <c r="D650" s="174">
        <f>(30.63+99.4)</f>
        <v>130.03</v>
      </c>
      <c r="E650" s="11">
        <v>0.6</v>
      </c>
      <c r="F650" s="11">
        <v>1.1000000000000001</v>
      </c>
      <c r="G650" s="11">
        <v>1.03</v>
      </c>
      <c r="H650" s="11">
        <v>1.4</v>
      </c>
      <c r="I650" s="144">
        <f t="shared" si="56"/>
        <v>89.836394000000013</v>
      </c>
      <c r="J650" s="173"/>
      <c r="K650" s="197">
        <f>21+15</f>
        <v>36</v>
      </c>
      <c r="L650" s="180"/>
      <c r="M650" s="180"/>
      <c r="N650" s="136"/>
    </row>
    <row r="651" spans="2:14">
      <c r="B651" s="11">
        <v>35</v>
      </c>
      <c r="C651" s="143" t="s">
        <v>907</v>
      </c>
      <c r="D651" s="174">
        <f>(34.16+120.26)</f>
        <v>154.42000000000002</v>
      </c>
      <c r="E651" s="11">
        <v>0.6</v>
      </c>
      <c r="F651" s="11">
        <v>1.1000000000000001</v>
      </c>
      <c r="G651" s="11">
        <v>1.03</v>
      </c>
      <c r="H651" s="11">
        <v>1.69</v>
      </c>
      <c r="I651" s="144">
        <f t="shared" si="56"/>
        <v>106.715416</v>
      </c>
      <c r="J651" s="173"/>
      <c r="K651" s="197">
        <f>21+15</f>
        <v>36</v>
      </c>
      <c r="L651" s="180"/>
      <c r="M651" s="180"/>
      <c r="N651" s="136"/>
    </row>
    <row r="652" spans="2:14">
      <c r="B652" s="11">
        <v>42</v>
      </c>
      <c r="C652" s="143" t="s">
        <v>908</v>
      </c>
      <c r="D652" s="174">
        <f>(73.17+130.9)</f>
        <v>204.07</v>
      </c>
      <c r="E652" s="11">
        <v>0.6</v>
      </c>
      <c r="F652" s="11">
        <v>1.1499999999999999</v>
      </c>
      <c r="G652" s="11">
        <v>1.03</v>
      </c>
      <c r="H652" s="11">
        <v>2.0499999999999998</v>
      </c>
      <c r="I652" s="144">
        <f t="shared" si="56"/>
        <v>147.144049</v>
      </c>
      <c r="J652" s="173"/>
      <c r="K652" s="197">
        <f>21+15</f>
        <v>36</v>
      </c>
      <c r="L652" s="180"/>
      <c r="M652" s="180"/>
      <c r="N652" s="136"/>
    </row>
    <row r="653" spans="2:14">
      <c r="B653" s="11">
        <v>54</v>
      </c>
      <c r="C653" s="143" t="s">
        <v>909</v>
      </c>
      <c r="D653" s="174">
        <f>109.68+0.5*419.74</f>
        <v>319.55</v>
      </c>
      <c r="E653" s="11">
        <v>0.6</v>
      </c>
      <c r="F653" s="11">
        <v>1.1499999999999999</v>
      </c>
      <c r="G653" s="11">
        <v>1.03</v>
      </c>
      <c r="H653" s="11">
        <v>2.59</v>
      </c>
      <c r="I653" s="144">
        <f t="shared" si="56"/>
        <v>229.77188499999997</v>
      </c>
      <c r="J653" s="173"/>
      <c r="K653" s="197">
        <f>21+0.5*28</f>
        <v>35</v>
      </c>
      <c r="L653" s="180" t="s">
        <v>910</v>
      </c>
      <c r="M653" s="180"/>
      <c r="N653" s="136"/>
    </row>
    <row r="654" spans="2:14">
      <c r="B654" s="11">
        <v>67</v>
      </c>
      <c r="C654" s="143" t="s">
        <v>911</v>
      </c>
      <c r="D654" s="174">
        <f>68.67+(0.48+0.63)*419.74</f>
        <v>534.58139999999992</v>
      </c>
      <c r="E654" s="11">
        <v>0.6</v>
      </c>
      <c r="F654" s="11">
        <v>1.1499999999999999</v>
      </c>
      <c r="G654" s="11">
        <v>1.03</v>
      </c>
      <c r="H654" s="11">
        <v>3.14</v>
      </c>
      <c r="I654" s="144">
        <f t="shared" si="56"/>
        <v>383.16120097999982</v>
      </c>
      <c r="J654" s="173"/>
      <c r="K654" s="197">
        <f>21+(0.48+0.63)*28</f>
        <v>52.08</v>
      </c>
      <c r="L654" s="180" t="s">
        <v>912</v>
      </c>
      <c r="M654" s="180"/>
      <c r="N654" s="136"/>
    </row>
    <row r="655" spans="2:14">
      <c r="B655" s="11">
        <v>76</v>
      </c>
      <c r="C655" s="143" t="s">
        <v>913</v>
      </c>
      <c r="D655" s="174">
        <f>178.55+(0.55+0.75)*419.74</f>
        <v>724.21199999999999</v>
      </c>
      <c r="E655" s="11">
        <v>0.6</v>
      </c>
      <c r="F655" s="11">
        <v>1.1499999999999999</v>
      </c>
      <c r="G655" s="11">
        <v>1.03</v>
      </c>
      <c r="H655" s="11">
        <v>3.86</v>
      </c>
      <c r="I655" s="144">
        <f t="shared" si="56"/>
        <v>518.67326839999998</v>
      </c>
      <c r="J655" s="173"/>
      <c r="K655" s="197">
        <f>26+(0.55+0.75)*32</f>
        <v>67.599999999999994</v>
      </c>
      <c r="L655" s="180" t="s">
        <v>912</v>
      </c>
      <c r="M655" s="180"/>
      <c r="N655" s="136"/>
    </row>
    <row r="656" spans="2:14">
      <c r="B656" s="11">
        <v>88</v>
      </c>
      <c r="C656" s="143" t="s">
        <v>914</v>
      </c>
      <c r="D656" s="174">
        <f>130.9+(0.52+0.74+0.89)*419.74</f>
        <v>1033.3410000000001</v>
      </c>
      <c r="E656" s="11">
        <v>0.6</v>
      </c>
      <c r="F656" s="11">
        <v>1.1499999999999999</v>
      </c>
      <c r="G656" s="11">
        <v>1.03</v>
      </c>
      <c r="H656" s="11">
        <v>4.7699999999999996</v>
      </c>
      <c r="I656" s="144">
        <f t="shared" si="56"/>
        <v>739.30854870000007</v>
      </c>
      <c r="J656" s="144"/>
      <c r="K656" s="92">
        <f>26+(0.52+0.74+0.89)*32</f>
        <v>94.8</v>
      </c>
      <c r="L656" s="222" t="s">
        <v>915</v>
      </c>
      <c r="M656" s="222"/>
      <c r="N656" s="136"/>
    </row>
    <row r="657" spans="2:14">
      <c r="B657" s="11">
        <v>108</v>
      </c>
      <c r="C657" s="143" t="s">
        <v>916</v>
      </c>
      <c r="D657" s="174">
        <f>(0.52+0.67+0.83+0.99)*419.74</f>
        <v>1263.4174</v>
      </c>
      <c r="E657" s="11">
        <v>0.6</v>
      </c>
      <c r="F657" s="11">
        <v>1.1499999999999999</v>
      </c>
      <c r="G657" s="11">
        <v>1.03</v>
      </c>
      <c r="H657" s="11">
        <v>5.67</v>
      </c>
      <c r="I657" s="144">
        <f t="shared" si="56"/>
        <v>903.75084617999994</v>
      </c>
      <c r="J657" s="144"/>
      <c r="K657" s="92">
        <f>(0.52+0.67+0.83+0.99)*32</f>
        <v>96.32</v>
      </c>
      <c r="L657" s="222" t="s">
        <v>915</v>
      </c>
      <c r="M657" s="222"/>
      <c r="N657" s="136"/>
    </row>
    <row r="658" spans="2:14">
      <c r="B658" s="11"/>
      <c r="C658" s="143"/>
      <c r="D658" s="174"/>
      <c r="E658" s="11">
        <v>0.6</v>
      </c>
      <c r="F658" s="11">
        <v>1.1499999999999999</v>
      </c>
      <c r="G658" s="11">
        <v>1.03</v>
      </c>
      <c r="H658" s="11">
        <v>5.67</v>
      </c>
      <c r="I658" s="144">
        <f t="shared" si="56"/>
        <v>5.8401000000000005</v>
      </c>
      <c r="J658" s="173"/>
      <c r="K658" s="197"/>
      <c r="L658" s="180"/>
      <c r="M658" s="180"/>
      <c r="N658" s="136"/>
    </row>
    <row r="659" spans="2:14">
      <c r="B659" s="11"/>
      <c r="C659" s="143"/>
      <c r="D659" s="174"/>
      <c r="E659" s="11">
        <v>0.6</v>
      </c>
      <c r="F659" s="11">
        <v>1.1499999999999999</v>
      </c>
      <c r="G659" s="11">
        <v>1.03</v>
      </c>
      <c r="H659" s="11">
        <v>5.67</v>
      </c>
      <c r="I659" s="144">
        <f t="shared" si="56"/>
        <v>5.8401000000000005</v>
      </c>
      <c r="J659" s="173"/>
      <c r="K659" s="197"/>
      <c r="L659" s="180"/>
      <c r="M659" s="180"/>
      <c r="N659" s="136"/>
    </row>
    <row r="660" spans="2:14">
      <c r="B660" s="11"/>
      <c r="C660" s="143"/>
      <c r="D660" s="174"/>
      <c r="E660" s="11">
        <v>0.6</v>
      </c>
      <c r="F660" s="11">
        <v>1.1499999999999999</v>
      </c>
      <c r="G660" s="11">
        <v>1.03</v>
      </c>
      <c r="H660" s="11">
        <v>5.67</v>
      </c>
      <c r="I660" s="144">
        <f t="shared" si="56"/>
        <v>5.8401000000000005</v>
      </c>
      <c r="J660" s="198"/>
      <c r="K660" s="195"/>
      <c r="L660" s="180"/>
      <c r="M660" s="180"/>
      <c r="N660" s="136"/>
    </row>
    <row r="661" spans="2:14">
      <c r="C661" s="136"/>
      <c r="D661" s="178"/>
      <c r="I661" s="138"/>
      <c r="J661" s="138"/>
      <c r="K661" s="179"/>
      <c r="L661" s="180"/>
      <c r="M661" s="180"/>
      <c r="N661" s="136"/>
    </row>
    <row r="662" spans="2:14">
      <c r="C662" s="136"/>
      <c r="D662" s="178"/>
      <c r="I662" s="138"/>
      <c r="J662" s="138"/>
      <c r="K662" s="179"/>
      <c r="L662" s="180"/>
      <c r="M662" s="180"/>
      <c r="N662" s="136"/>
    </row>
    <row r="663" spans="2:14">
      <c r="B663" s="11">
        <v>42</v>
      </c>
      <c r="C663" s="143" t="s">
        <v>916</v>
      </c>
      <c r="D663" s="174">
        <f>(0.31+0.47+0.62+0.87)*419.74</f>
        <v>952.8098</v>
      </c>
      <c r="E663" s="11">
        <v>0.6</v>
      </c>
      <c r="F663" s="11">
        <v>1.1499999999999999</v>
      </c>
      <c r="G663" s="11">
        <v>1.03</v>
      </c>
      <c r="H663" s="11">
        <v>2.0499999999999998</v>
      </c>
      <c r="I663" s="144">
        <f>(((D663*E663)*F663)+H663)*G663</f>
        <v>679.27342485999998</v>
      </c>
      <c r="J663" s="144"/>
      <c r="K663" s="92">
        <f>(0.31+0.47+0.62+0.87)*25</f>
        <v>56.75</v>
      </c>
      <c r="L663" s="180"/>
      <c r="M663" s="180"/>
      <c r="N663" s="136"/>
    </row>
    <row r="664" spans="2:14">
      <c r="B664" s="11">
        <v>54</v>
      </c>
      <c r="C664" s="143" t="s">
        <v>916</v>
      </c>
      <c r="D664" s="174">
        <f>(0.31+0.47+0.62+0.87)*1.1*419.74</f>
        <v>1048.0907800000002</v>
      </c>
      <c r="E664" s="11">
        <v>0.6</v>
      </c>
      <c r="F664" s="11">
        <v>1.1499999999999999</v>
      </c>
      <c r="G664" s="11">
        <v>1.03</v>
      </c>
      <c r="H664" s="11">
        <v>2.59</v>
      </c>
      <c r="I664" s="144">
        <f>(((D664*E664)*F664)+H664)*G664</f>
        <v>747.54581734600015</v>
      </c>
      <c r="J664" s="144"/>
      <c r="K664" s="92">
        <f>(0.31+0.47+0.62+0.87)*1.1*25</f>
        <v>62.425000000000011</v>
      </c>
      <c r="L664" s="180"/>
      <c r="M664" s="180"/>
      <c r="N664" s="136"/>
    </row>
    <row r="665" spans="2:14">
      <c r="B665" s="11">
        <v>76</v>
      </c>
      <c r="C665" s="143" t="s">
        <v>916</v>
      </c>
      <c r="D665" s="174">
        <f>(0.4+0.55+0.75+0.87)*419.74</f>
        <v>1078.7318000000002</v>
      </c>
      <c r="E665" s="11">
        <v>0.6</v>
      </c>
      <c r="F665" s="11">
        <v>1.1499999999999999</v>
      </c>
      <c r="G665" s="11">
        <v>1.03</v>
      </c>
      <c r="H665" s="11">
        <v>3.86</v>
      </c>
      <c r="I665" s="144">
        <f>(((D665*E665)*F665)+H665)*G665</f>
        <v>770.63049026000022</v>
      </c>
      <c r="J665" s="144"/>
      <c r="K665" s="92">
        <f>(0.4+0.55+0.75+0.87)*25</f>
        <v>64.25</v>
      </c>
      <c r="L665" s="180"/>
      <c r="M665" s="180"/>
      <c r="N665" s="136"/>
    </row>
    <row r="666" spans="2:14">
      <c r="C666" s="136"/>
      <c r="D666" s="178"/>
      <c r="I666" s="138"/>
      <c r="J666" s="138"/>
      <c r="K666" s="179"/>
      <c r="L666" s="180"/>
      <c r="M666" s="180"/>
      <c r="N666" s="136"/>
    </row>
    <row r="667" spans="2:14">
      <c r="C667" s="136"/>
      <c r="D667" s="178"/>
      <c r="I667" s="138"/>
      <c r="J667" s="138"/>
      <c r="K667" s="179"/>
      <c r="L667" s="180"/>
      <c r="M667" s="180"/>
      <c r="N667" s="136"/>
    </row>
    <row r="668" spans="2:14">
      <c r="B668" s="11">
        <v>42</v>
      </c>
      <c r="C668" s="143" t="s">
        <v>917</v>
      </c>
      <c r="D668" s="174">
        <f>71.2+0.78*275.58</f>
        <v>286.1524</v>
      </c>
      <c r="E668" s="11">
        <v>0.5</v>
      </c>
      <c r="F668" s="11">
        <v>1.1499999999999999</v>
      </c>
      <c r="G668" s="11">
        <v>1.03</v>
      </c>
      <c r="H668" s="11">
        <v>2.0499999999999998</v>
      </c>
      <c r="I668" s="144">
        <f>(((D668*E668)*F668)+H668)*G668</f>
        <v>171.58525889999999</v>
      </c>
      <c r="J668" s="144"/>
      <c r="K668" s="92">
        <f>(0.31+0.47+0.62+0.87)*25</f>
        <v>56.75</v>
      </c>
      <c r="L668" s="180"/>
      <c r="M668" s="180"/>
      <c r="N668" s="136"/>
    </row>
    <row r="669" spans="2:14">
      <c r="B669" s="11">
        <v>54</v>
      </c>
      <c r="C669" s="143" t="s">
        <v>917</v>
      </c>
      <c r="D669" s="174">
        <f>88.85+0.82*275.58</f>
        <v>314.82560000000001</v>
      </c>
      <c r="E669" s="11">
        <v>0.5</v>
      </c>
      <c r="F669" s="11">
        <v>1.1499999999999999</v>
      </c>
      <c r="G669" s="11">
        <v>1.03</v>
      </c>
      <c r="H669" s="11">
        <v>2.59</v>
      </c>
      <c r="I669" s="144">
        <f>(((D669*E669)*F669)+H669)*G669</f>
        <v>189.1231616</v>
      </c>
      <c r="J669" s="144"/>
      <c r="K669" s="92">
        <f>(0.31+0.47+0.62+0.87)*1.1*25</f>
        <v>62.425000000000011</v>
      </c>
      <c r="L669" s="180"/>
      <c r="M669" s="180"/>
      <c r="N669" s="136"/>
    </row>
    <row r="670" spans="2:14">
      <c r="B670" s="11">
        <v>76</v>
      </c>
      <c r="C670" s="143" t="s">
        <v>917</v>
      </c>
      <c r="D670" s="174">
        <f>110.75+0.87*275.58</f>
        <v>350.50459999999998</v>
      </c>
      <c r="E670" s="11">
        <v>0.5</v>
      </c>
      <c r="F670" s="11">
        <v>1.1499999999999999</v>
      </c>
      <c r="G670" s="11">
        <v>1.03</v>
      </c>
      <c r="H670" s="11">
        <v>3.86</v>
      </c>
      <c r="I670" s="144">
        <f>(((D670*E670)*F670)+H670)*G670</f>
        <v>211.56214935</v>
      </c>
      <c r="J670" s="144"/>
      <c r="K670" s="92">
        <f>(0.4+0.55+0.75+0.87)*25</f>
        <v>64.25</v>
      </c>
      <c r="L670" s="180"/>
      <c r="M670" s="180"/>
      <c r="N670" s="136"/>
    </row>
    <row r="671" spans="2:14">
      <c r="C671" s="136"/>
      <c r="D671" s="178"/>
      <c r="I671" s="138"/>
      <c r="J671" s="138"/>
      <c r="K671" s="179"/>
      <c r="L671" s="180"/>
      <c r="M671" s="180"/>
      <c r="N671" s="136"/>
    </row>
    <row r="672" spans="2:14">
      <c r="C672" s="136"/>
      <c r="D672" s="178"/>
      <c r="I672" s="138"/>
      <c r="J672" s="138"/>
      <c r="K672" s="179"/>
      <c r="L672" s="180"/>
      <c r="M672" s="180"/>
      <c r="N672" s="136"/>
    </row>
    <row r="673" spans="3:14">
      <c r="C673" s="136"/>
      <c r="D673" s="178"/>
      <c r="I673" s="138"/>
      <c r="J673" s="138"/>
      <c r="K673" s="179"/>
      <c r="L673" s="180"/>
      <c r="M673" s="180"/>
      <c r="N673" s="136"/>
    </row>
    <row r="674" spans="3:14">
      <c r="C674" s="136"/>
      <c r="D674" s="178"/>
      <c r="I674" s="138"/>
      <c r="J674" s="138"/>
      <c r="K674" s="179"/>
      <c r="L674" s="180"/>
      <c r="M674" s="180"/>
      <c r="N674" s="136"/>
    </row>
    <row r="675" spans="3:14">
      <c r="C675" s="136"/>
      <c r="D675" s="178"/>
      <c r="I675" s="138"/>
      <c r="J675" s="138"/>
      <c r="K675" s="179"/>
      <c r="L675" s="180"/>
      <c r="M675" s="180"/>
      <c r="N675" s="136"/>
    </row>
    <row r="676" spans="3:14">
      <c r="C676" s="136"/>
      <c r="D676" s="178"/>
      <c r="I676" s="138"/>
      <c r="J676" s="138"/>
      <c r="K676" s="179"/>
      <c r="L676" s="180"/>
      <c r="M676" s="180"/>
      <c r="N676" s="136"/>
    </row>
    <row r="677" spans="3:14">
      <c r="C677" s="136"/>
      <c r="D677" s="178"/>
      <c r="I677" s="138"/>
      <c r="J677" s="138"/>
      <c r="K677" s="179"/>
      <c r="L677" s="180"/>
      <c r="M677" s="180"/>
      <c r="N677" s="136"/>
    </row>
    <row r="678" spans="3:14">
      <c r="C678" s="136"/>
      <c r="D678" s="178"/>
      <c r="I678" s="138"/>
      <c r="J678" s="138"/>
      <c r="K678" s="179"/>
      <c r="L678" s="180"/>
      <c r="M678" s="180"/>
      <c r="N678" s="136"/>
    </row>
    <row r="679" spans="3:14">
      <c r="C679" s="136"/>
      <c r="D679" s="178"/>
      <c r="I679" s="138"/>
      <c r="J679" s="138"/>
      <c r="K679" s="179"/>
      <c r="L679" s="180"/>
      <c r="M679" s="180"/>
      <c r="N679" s="136"/>
    </row>
    <row r="680" spans="3:14">
      <c r="C680" s="136"/>
      <c r="D680" s="178"/>
      <c r="I680" s="138"/>
      <c r="J680" s="138"/>
      <c r="K680" s="179"/>
      <c r="L680" s="180"/>
      <c r="M680" s="180"/>
      <c r="N680" s="136"/>
    </row>
  </sheetData>
  <mergeCells count="1">
    <mergeCell ref="B203:J2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D3FA-7505-4E9D-A895-17248818F6D9}">
  <dimension ref="A2:AB111"/>
  <sheetViews>
    <sheetView workbookViewId="0">
      <selection activeCell="I2" sqref="I2"/>
    </sheetView>
  </sheetViews>
  <sheetFormatPr defaultRowHeight="15"/>
  <cols>
    <col min="1" max="2" width="15.28515625" customWidth="1"/>
    <col min="4" max="4" width="10.28515625" customWidth="1"/>
    <col min="7" max="7" width="11.28515625" customWidth="1"/>
    <col min="10" max="10" width="12.28515625" customWidth="1"/>
    <col min="11" max="11" width="11.28515625" customWidth="1"/>
    <col min="15" max="15" width="11.140625" customWidth="1"/>
    <col min="16" max="16" width="14.7109375" customWidth="1"/>
    <col min="20" max="20" width="13" customWidth="1"/>
    <col min="22" max="22" width="12.5703125" customWidth="1"/>
    <col min="24" max="24" width="9.85546875" bestFit="1" customWidth="1"/>
    <col min="26" max="26" width="12.5703125" customWidth="1"/>
    <col min="27" max="27" width="12.28515625" customWidth="1"/>
    <col min="257" max="258" width="15.28515625" customWidth="1"/>
    <col min="260" max="260" width="10.28515625" customWidth="1"/>
    <col min="263" max="263" width="11.28515625" customWidth="1"/>
    <col min="266" max="266" width="12.28515625" customWidth="1"/>
    <col min="267" max="267" width="11.28515625" customWidth="1"/>
    <col min="271" max="271" width="11.140625" customWidth="1"/>
    <col min="272" max="272" width="14.7109375" customWidth="1"/>
    <col min="276" max="276" width="13" customWidth="1"/>
    <col min="278" max="278" width="12.5703125" customWidth="1"/>
    <col min="280" max="280" width="9.85546875" bestFit="1" customWidth="1"/>
    <col min="282" max="282" width="12.5703125" customWidth="1"/>
    <col min="283" max="283" width="12.28515625" customWidth="1"/>
    <col min="513" max="514" width="15.28515625" customWidth="1"/>
    <col min="516" max="516" width="10.28515625" customWidth="1"/>
    <col min="519" max="519" width="11.28515625" customWidth="1"/>
    <col min="522" max="522" width="12.28515625" customWidth="1"/>
    <col min="523" max="523" width="11.28515625" customWidth="1"/>
    <col min="527" max="527" width="11.140625" customWidth="1"/>
    <col min="528" max="528" width="14.7109375" customWidth="1"/>
    <col min="532" max="532" width="13" customWidth="1"/>
    <col min="534" max="534" width="12.5703125" customWidth="1"/>
    <col min="536" max="536" width="9.85546875" bestFit="1" customWidth="1"/>
    <col min="538" max="538" width="12.5703125" customWidth="1"/>
    <col min="539" max="539" width="12.28515625" customWidth="1"/>
    <col min="769" max="770" width="15.28515625" customWidth="1"/>
    <col min="772" max="772" width="10.28515625" customWidth="1"/>
    <col min="775" max="775" width="11.28515625" customWidth="1"/>
    <col min="778" max="778" width="12.28515625" customWidth="1"/>
    <col min="779" max="779" width="11.28515625" customWidth="1"/>
    <col min="783" max="783" width="11.140625" customWidth="1"/>
    <col min="784" max="784" width="14.7109375" customWidth="1"/>
    <col min="788" max="788" width="13" customWidth="1"/>
    <col min="790" max="790" width="12.5703125" customWidth="1"/>
    <col min="792" max="792" width="9.85546875" bestFit="1" customWidth="1"/>
    <col min="794" max="794" width="12.5703125" customWidth="1"/>
    <col min="795" max="795" width="12.28515625" customWidth="1"/>
    <col min="1025" max="1026" width="15.28515625" customWidth="1"/>
    <col min="1028" max="1028" width="10.28515625" customWidth="1"/>
    <col min="1031" max="1031" width="11.28515625" customWidth="1"/>
    <col min="1034" max="1034" width="12.28515625" customWidth="1"/>
    <col min="1035" max="1035" width="11.28515625" customWidth="1"/>
    <col min="1039" max="1039" width="11.140625" customWidth="1"/>
    <col min="1040" max="1040" width="14.7109375" customWidth="1"/>
    <col min="1044" max="1044" width="13" customWidth="1"/>
    <col min="1046" max="1046" width="12.5703125" customWidth="1"/>
    <col min="1048" max="1048" width="9.85546875" bestFit="1" customWidth="1"/>
    <col min="1050" max="1050" width="12.5703125" customWidth="1"/>
    <col min="1051" max="1051" width="12.28515625" customWidth="1"/>
    <col min="1281" max="1282" width="15.28515625" customWidth="1"/>
    <col min="1284" max="1284" width="10.28515625" customWidth="1"/>
    <col min="1287" max="1287" width="11.28515625" customWidth="1"/>
    <col min="1290" max="1290" width="12.28515625" customWidth="1"/>
    <col min="1291" max="1291" width="11.28515625" customWidth="1"/>
    <col min="1295" max="1295" width="11.140625" customWidth="1"/>
    <col min="1296" max="1296" width="14.7109375" customWidth="1"/>
    <col min="1300" max="1300" width="13" customWidth="1"/>
    <col min="1302" max="1302" width="12.5703125" customWidth="1"/>
    <col min="1304" max="1304" width="9.85546875" bestFit="1" customWidth="1"/>
    <col min="1306" max="1306" width="12.5703125" customWidth="1"/>
    <col min="1307" max="1307" width="12.28515625" customWidth="1"/>
    <col min="1537" max="1538" width="15.28515625" customWidth="1"/>
    <col min="1540" max="1540" width="10.28515625" customWidth="1"/>
    <col min="1543" max="1543" width="11.28515625" customWidth="1"/>
    <col min="1546" max="1546" width="12.28515625" customWidth="1"/>
    <col min="1547" max="1547" width="11.28515625" customWidth="1"/>
    <col min="1551" max="1551" width="11.140625" customWidth="1"/>
    <col min="1552" max="1552" width="14.7109375" customWidth="1"/>
    <col min="1556" max="1556" width="13" customWidth="1"/>
    <col min="1558" max="1558" width="12.5703125" customWidth="1"/>
    <col min="1560" max="1560" width="9.85546875" bestFit="1" customWidth="1"/>
    <col min="1562" max="1562" width="12.5703125" customWidth="1"/>
    <col min="1563" max="1563" width="12.28515625" customWidth="1"/>
    <col min="1793" max="1794" width="15.28515625" customWidth="1"/>
    <col min="1796" max="1796" width="10.28515625" customWidth="1"/>
    <col min="1799" max="1799" width="11.28515625" customWidth="1"/>
    <col min="1802" max="1802" width="12.28515625" customWidth="1"/>
    <col min="1803" max="1803" width="11.28515625" customWidth="1"/>
    <col min="1807" max="1807" width="11.140625" customWidth="1"/>
    <col min="1808" max="1808" width="14.7109375" customWidth="1"/>
    <col min="1812" max="1812" width="13" customWidth="1"/>
    <col min="1814" max="1814" width="12.5703125" customWidth="1"/>
    <col min="1816" max="1816" width="9.85546875" bestFit="1" customWidth="1"/>
    <col min="1818" max="1818" width="12.5703125" customWidth="1"/>
    <col min="1819" max="1819" width="12.28515625" customWidth="1"/>
    <col min="2049" max="2050" width="15.28515625" customWidth="1"/>
    <col min="2052" max="2052" width="10.28515625" customWidth="1"/>
    <col min="2055" max="2055" width="11.28515625" customWidth="1"/>
    <col min="2058" max="2058" width="12.28515625" customWidth="1"/>
    <col min="2059" max="2059" width="11.28515625" customWidth="1"/>
    <col min="2063" max="2063" width="11.140625" customWidth="1"/>
    <col min="2064" max="2064" width="14.7109375" customWidth="1"/>
    <col min="2068" max="2068" width="13" customWidth="1"/>
    <col min="2070" max="2070" width="12.5703125" customWidth="1"/>
    <col min="2072" max="2072" width="9.85546875" bestFit="1" customWidth="1"/>
    <col min="2074" max="2074" width="12.5703125" customWidth="1"/>
    <col min="2075" max="2075" width="12.28515625" customWidth="1"/>
    <col min="2305" max="2306" width="15.28515625" customWidth="1"/>
    <col min="2308" max="2308" width="10.28515625" customWidth="1"/>
    <col min="2311" max="2311" width="11.28515625" customWidth="1"/>
    <col min="2314" max="2314" width="12.28515625" customWidth="1"/>
    <col min="2315" max="2315" width="11.28515625" customWidth="1"/>
    <col min="2319" max="2319" width="11.140625" customWidth="1"/>
    <col min="2320" max="2320" width="14.7109375" customWidth="1"/>
    <col min="2324" max="2324" width="13" customWidth="1"/>
    <col min="2326" max="2326" width="12.5703125" customWidth="1"/>
    <col min="2328" max="2328" width="9.85546875" bestFit="1" customWidth="1"/>
    <col min="2330" max="2330" width="12.5703125" customWidth="1"/>
    <col min="2331" max="2331" width="12.28515625" customWidth="1"/>
    <col min="2561" max="2562" width="15.28515625" customWidth="1"/>
    <col min="2564" max="2564" width="10.28515625" customWidth="1"/>
    <col min="2567" max="2567" width="11.28515625" customWidth="1"/>
    <col min="2570" max="2570" width="12.28515625" customWidth="1"/>
    <col min="2571" max="2571" width="11.28515625" customWidth="1"/>
    <col min="2575" max="2575" width="11.140625" customWidth="1"/>
    <col min="2576" max="2576" width="14.7109375" customWidth="1"/>
    <col min="2580" max="2580" width="13" customWidth="1"/>
    <col min="2582" max="2582" width="12.5703125" customWidth="1"/>
    <col min="2584" max="2584" width="9.85546875" bestFit="1" customWidth="1"/>
    <col min="2586" max="2586" width="12.5703125" customWidth="1"/>
    <col min="2587" max="2587" width="12.28515625" customWidth="1"/>
    <col min="2817" max="2818" width="15.28515625" customWidth="1"/>
    <col min="2820" max="2820" width="10.28515625" customWidth="1"/>
    <col min="2823" max="2823" width="11.28515625" customWidth="1"/>
    <col min="2826" max="2826" width="12.28515625" customWidth="1"/>
    <col min="2827" max="2827" width="11.28515625" customWidth="1"/>
    <col min="2831" max="2831" width="11.140625" customWidth="1"/>
    <col min="2832" max="2832" width="14.7109375" customWidth="1"/>
    <col min="2836" max="2836" width="13" customWidth="1"/>
    <col min="2838" max="2838" width="12.5703125" customWidth="1"/>
    <col min="2840" max="2840" width="9.85546875" bestFit="1" customWidth="1"/>
    <col min="2842" max="2842" width="12.5703125" customWidth="1"/>
    <col min="2843" max="2843" width="12.28515625" customWidth="1"/>
    <col min="3073" max="3074" width="15.28515625" customWidth="1"/>
    <col min="3076" max="3076" width="10.28515625" customWidth="1"/>
    <col min="3079" max="3079" width="11.28515625" customWidth="1"/>
    <col min="3082" max="3082" width="12.28515625" customWidth="1"/>
    <col min="3083" max="3083" width="11.28515625" customWidth="1"/>
    <col min="3087" max="3087" width="11.140625" customWidth="1"/>
    <col min="3088" max="3088" width="14.7109375" customWidth="1"/>
    <col min="3092" max="3092" width="13" customWidth="1"/>
    <col min="3094" max="3094" width="12.5703125" customWidth="1"/>
    <col min="3096" max="3096" width="9.85546875" bestFit="1" customWidth="1"/>
    <col min="3098" max="3098" width="12.5703125" customWidth="1"/>
    <col min="3099" max="3099" width="12.28515625" customWidth="1"/>
    <col min="3329" max="3330" width="15.28515625" customWidth="1"/>
    <col min="3332" max="3332" width="10.28515625" customWidth="1"/>
    <col min="3335" max="3335" width="11.28515625" customWidth="1"/>
    <col min="3338" max="3338" width="12.28515625" customWidth="1"/>
    <col min="3339" max="3339" width="11.28515625" customWidth="1"/>
    <col min="3343" max="3343" width="11.140625" customWidth="1"/>
    <col min="3344" max="3344" width="14.7109375" customWidth="1"/>
    <col min="3348" max="3348" width="13" customWidth="1"/>
    <col min="3350" max="3350" width="12.5703125" customWidth="1"/>
    <col min="3352" max="3352" width="9.85546875" bestFit="1" customWidth="1"/>
    <col min="3354" max="3354" width="12.5703125" customWidth="1"/>
    <col min="3355" max="3355" width="12.28515625" customWidth="1"/>
    <col min="3585" max="3586" width="15.28515625" customWidth="1"/>
    <col min="3588" max="3588" width="10.28515625" customWidth="1"/>
    <col min="3591" max="3591" width="11.28515625" customWidth="1"/>
    <col min="3594" max="3594" width="12.28515625" customWidth="1"/>
    <col min="3595" max="3595" width="11.28515625" customWidth="1"/>
    <col min="3599" max="3599" width="11.140625" customWidth="1"/>
    <col min="3600" max="3600" width="14.7109375" customWidth="1"/>
    <col min="3604" max="3604" width="13" customWidth="1"/>
    <col min="3606" max="3606" width="12.5703125" customWidth="1"/>
    <col min="3608" max="3608" width="9.85546875" bestFit="1" customWidth="1"/>
    <col min="3610" max="3610" width="12.5703125" customWidth="1"/>
    <col min="3611" max="3611" width="12.28515625" customWidth="1"/>
    <col min="3841" max="3842" width="15.28515625" customWidth="1"/>
    <col min="3844" max="3844" width="10.28515625" customWidth="1"/>
    <col min="3847" max="3847" width="11.28515625" customWidth="1"/>
    <col min="3850" max="3850" width="12.28515625" customWidth="1"/>
    <col min="3851" max="3851" width="11.28515625" customWidth="1"/>
    <col min="3855" max="3855" width="11.140625" customWidth="1"/>
    <col min="3856" max="3856" width="14.7109375" customWidth="1"/>
    <col min="3860" max="3860" width="13" customWidth="1"/>
    <col min="3862" max="3862" width="12.5703125" customWidth="1"/>
    <col min="3864" max="3864" width="9.85546875" bestFit="1" customWidth="1"/>
    <col min="3866" max="3866" width="12.5703125" customWidth="1"/>
    <col min="3867" max="3867" width="12.28515625" customWidth="1"/>
    <col min="4097" max="4098" width="15.28515625" customWidth="1"/>
    <col min="4100" max="4100" width="10.28515625" customWidth="1"/>
    <col min="4103" max="4103" width="11.28515625" customWidth="1"/>
    <col min="4106" max="4106" width="12.28515625" customWidth="1"/>
    <col min="4107" max="4107" width="11.28515625" customWidth="1"/>
    <col min="4111" max="4111" width="11.140625" customWidth="1"/>
    <col min="4112" max="4112" width="14.7109375" customWidth="1"/>
    <col min="4116" max="4116" width="13" customWidth="1"/>
    <col min="4118" max="4118" width="12.5703125" customWidth="1"/>
    <col min="4120" max="4120" width="9.85546875" bestFit="1" customWidth="1"/>
    <col min="4122" max="4122" width="12.5703125" customWidth="1"/>
    <col min="4123" max="4123" width="12.28515625" customWidth="1"/>
    <col min="4353" max="4354" width="15.28515625" customWidth="1"/>
    <col min="4356" max="4356" width="10.28515625" customWidth="1"/>
    <col min="4359" max="4359" width="11.28515625" customWidth="1"/>
    <col min="4362" max="4362" width="12.28515625" customWidth="1"/>
    <col min="4363" max="4363" width="11.28515625" customWidth="1"/>
    <col min="4367" max="4367" width="11.140625" customWidth="1"/>
    <col min="4368" max="4368" width="14.7109375" customWidth="1"/>
    <col min="4372" max="4372" width="13" customWidth="1"/>
    <col min="4374" max="4374" width="12.5703125" customWidth="1"/>
    <col min="4376" max="4376" width="9.85546875" bestFit="1" customWidth="1"/>
    <col min="4378" max="4378" width="12.5703125" customWidth="1"/>
    <col min="4379" max="4379" width="12.28515625" customWidth="1"/>
    <col min="4609" max="4610" width="15.28515625" customWidth="1"/>
    <col min="4612" max="4612" width="10.28515625" customWidth="1"/>
    <col min="4615" max="4615" width="11.28515625" customWidth="1"/>
    <col min="4618" max="4618" width="12.28515625" customWidth="1"/>
    <col min="4619" max="4619" width="11.28515625" customWidth="1"/>
    <col min="4623" max="4623" width="11.140625" customWidth="1"/>
    <col min="4624" max="4624" width="14.7109375" customWidth="1"/>
    <col min="4628" max="4628" width="13" customWidth="1"/>
    <col min="4630" max="4630" width="12.5703125" customWidth="1"/>
    <col min="4632" max="4632" width="9.85546875" bestFit="1" customWidth="1"/>
    <col min="4634" max="4634" width="12.5703125" customWidth="1"/>
    <col min="4635" max="4635" width="12.28515625" customWidth="1"/>
    <col min="4865" max="4866" width="15.28515625" customWidth="1"/>
    <col min="4868" max="4868" width="10.28515625" customWidth="1"/>
    <col min="4871" max="4871" width="11.28515625" customWidth="1"/>
    <col min="4874" max="4874" width="12.28515625" customWidth="1"/>
    <col min="4875" max="4875" width="11.28515625" customWidth="1"/>
    <col min="4879" max="4879" width="11.140625" customWidth="1"/>
    <col min="4880" max="4880" width="14.7109375" customWidth="1"/>
    <col min="4884" max="4884" width="13" customWidth="1"/>
    <col min="4886" max="4886" width="12.5703125" customWidth="1"/>
    <col min="4888" max="4888" width="9.85546875" bestFit="1" customWidth="1"/>
    <col min="4890" max="4890" width="12.5703125" customWidth="1"/>
    <col min="4891" max="4891" width="12.28515625" customWidth="1"/>
    <col min="5121" max="5122" width="15.28515625" customWidth="1"/>
    <col min="5124" max="5124" width="10.28515625" customWidth="1"/>
    <col min="5127" max="5127" width="11.28515625" customWidth="1"/>
    <col min="5130" max="5130" width="12.28515625" customWidth="1"/>
    <col min="5131" max="5131" width="11.28515625" customWidth="1"/>
    <col min="5135" max="5135" width="11.140625" customWidth="1"/>
    <col min="5136" max="5136" width="14.7109375" customWidth="1"/>
    <col min="5140" max="5140" width="13" customWidth="1"/>
    <col min="5142" max="5142" width="12.5703125" customWidth="1"/>
    <col min="5144" max="5144" width="9.85546875" bestFit="1" customWidth="1"/>
    <col min="5146" max="5146" width="12.5703125" customWidth="1"/>
    <col min="5147" max="5147" width="12.28515625" customWidth="1"/>
    <col min="5377" max="5378" width="15.28515625" customWidth="1"/>
    <col min="5380" max="5380" width="10.28515625" customWidth="1"/>
    <col min="5383" max="5383" width="11.28515625" customWidth="1"/>
    <col min="5386" max="5386" width="12.28515625" customWidth="1"/>
    <col min="5387" max="5387" width="11.28515625" customWidth="1"/>
    <col min="5391" max="5391" width="11.140625" customWidth="1"/>
    <col min="5392" max="5392" width="14.7109375" customWidth="1"/>
    <col min="5396" max="5396" width="13" customWidth="1"/>
    <col min="5398" max="5398" width="12.5703125" customWidth="1"/>
    <col min="5400" max="5400" width="9.85546875" bestFit="1" customWidth="1"/>
    <col min="5402" max="5402" width="12.5703125" customWidth="1"/>
    <col min="5403" max="5403" width="12.28515625" customWidth="1"/>
    <col min="5633" max="5634" width="15.28515625" customWidth="1"/>
    <col min="5636" max="5636" width="10.28515625" customWidth="1"/>
    <col min="5639" max="5639" width="11.28515625" customWidth="1"/>
    <col min="5642" max="5642" width="12.28515625" customWidth="1"/>
    <col min="5643" max="5643" width="11.28515625" customWidth="1"/>
    <col min="5647" max="5647" width="11.140625" customWidth="1"/>
    <col min="5648" max="5648" width="14.7109375" customWidth="1"/>
    <col min="5652" max="5652" width="13" customWidth="1"/>
    <col min="5654" max="5654" width="12.5703125" customWidth="1"/>
    <col min="5656" max="5656" width="9.85546875" bestFit="1" customWidth="1"/>
    <col min="5658" max="5658" width="12.5703125" customWidth="1"/>
    <col min="5659" max="5659" width="12.28515625" customWidth="1"/>
    <col min="5889" max="5890" width="15.28515625" customWidth="1"/>
    <col min="5892" max="5892" width="10.28515625" customWidth="1"/>
    <col min="5895" max="5895" width="11.28515625" customWidth="1"/>
    <col min="5898" max="5898" width="12.28515625" customWidth="1"/>
    <col min="5899" max="5899" width="11.28515625" customWidth="1"/>
    <col min="5903" max="5903" width="11.140625" customWidth="1"/>
    <col min="5904" max="5904" width="14.7109375" customWidth="1"/>
    <col min="5908" max="5908" width="13" customWidth="1"/>
    <col min="5910" max="5910" width="12.5703125" customWidth="1"/>
    <col min="5912" max="5912" width="9.85546875" bestFit="1" customWidth="1"/>
    <col min="5914" max="5914" width="12.5703125" customWidth="1"/>
    <col min="5915" max="5915" width="12.28515625" customWidth="1"/>
    <col min="6145" max="6146" width="15.28515625" customWidth="1"/>
    <col min="6148" max="6148" width="10.28515625" customWidth="1"/>
    <col min="6151" max="6151" width="11.28515625" customWidth="1"/>
    <col min="6154" max="6154" width="12.28515625" customWidth="1"/>
    <col min="6155" max="6155" width="11.28515625" customWidth="1"/>
    <col min="6159" max="6159" width="11.140625" customWidth="1"/>
    <col min="6160" max="6160" width="14.7109375" customWidth="1"/>
    <col min="6164" max="6164" width="13" customWidth="1"/>
    <col min="6166" max="6166" width="12.5703125" customWidth="1"/>
    <col min="6168" max="6168" width="9.85546875" bestFit="1" customWidth="1"/>
    <col min="6170" max="6170" width="12.5703125" customWidth="1"/>
    <col min="6171" max="6171" width="12.28515625" customWidth="1"/>
    <col min="6401" max="6402" width="15.28515625" customWidth="1"/>
    <col min="6404" max="6404" width="10.28515625" customWidth="1"/>
    <col min="6407" max="6407" width="11.28515625" customWidth="1"/>
    <col min="6410" max="6410" width="12.28515625" customWidth="1"/>
    <col min="6411" max="6411" width="11.28515625" customWidth="1"/>
    <col min="6415" max="6415" width="11.140625" customWidth="1"/>
    <col min="6416" max="6416" width="14.7109375" customWidth="1"/>
    <col min="6420" max="6420" width="13" customWidth="1"/>
    <col min="6422" max="6422" width="12.5703125" customWidth="1"/>
    <col min="6424" max="6424" width="9.85546875" bestFit="1" customWidth="1"/>
    <col min="6426" max="6426" width="12.5703125" customWidth="1"/>
    <col min="6427" max="6427" width="12.28515625" customWidth="1"/>
    <col min="6657" max="6658" width="15.28515625" customWidth="1"/>
    <col min="6660" max="6660" width="10.28515625" customWidth="1"/>
    <col min="6663" max="6663" width="11.28515625" customWidth="1"/>
    <col min="6666" max="6666" width="12.28515625" customWidth="1"/>
    <col min="6667" max="6667" width="11.28515625" customWidth="1"/>
    <col min="6671" max="6671" width="11.140625" customWidth="1"/>
    <col min="6672" max="6672" width="14.7109375" customWidth="1"/>
    <col min="6676" max="6676" width="13" customWidth="1"/>
    <col min="6678" max="6678" width="12.5703125" customWidth="1"/>
    <col min="6680" max="6680" width="9.85546875" bestFit="1" customWidth="1"/>
    <col min="6682" max="6682" width="12.5703125" customWidth="1"/>
    <col min="6683" max="6683" width="12.28515625" customWidth="1"/>
    <col min="6913" max="6914" width="15.28515625" customWidth="1"/>
    <col min="6916" max="6916" width="10.28515625" customWidth="1"/>
    <col min="6919" max="6919" width="11.28515625" customWidth="1"/>
    <col min="6922" max="6922" width="12.28515625" customWidth="1"/>
    <col min="6923" max="6923" width="11.28515625" customWidth="1"/>
    <col min="6927" max="6927" width="11.140625" customWidth="1"/>
    <col min="6928" max="6928" width="14.7109375" customWidth="1"/>
    <col min="6932" max="6932" width="13" customWidth="1"/>
    <col min="6934" max="6934" width="12.5703125" customWidth="1"/>
    <col min="6936" max="6936" width="9.85546875" bestFit="1" customWidth="1"/>
    <col min="6938" max="6938" width="12.5703125" customWidth="1"/>
    <col min="6939" max="6939" width="12.28515625" customWidth="1"/>
    <col min="7169" max="7170" width="15.28515625" customWidth="1"/>
    <col min="7172" max="7172" width="10.28515625" customWidth="1"/>
    <col min="7175" max="7175" width="11.28515625" customWidth="1"/>
    <col min="7178" max="7178" width="12.28515625" customWidth="1"/>
    <col min="7179" max="7179" width="11.28515625" customWidth="1"/>
    <col min="7183" max="7183" width="11.140625" customWidth="1"/>
    <col min="7184" max="7184" width="14.7109375" customWidth="1"/>
    <col min="7188" max="7188" width="13" customWidth="1"/>
    <col min="7190" max="7190" width="12.5703125" customWidth="1"/>
    <col min="7192" max="7192" width="9.85546875" bestFit="1" customWidth="1"/>
    <col min="7194" max="7194" width="12.5703125" customWidth="1"/>
    <col min="7195" max="7195" width="12.28515625" customWidth="1"/>
    <col min="7425" max="7426" width="15.28515625" customWidth="1"/>
    <col min="7428" max="7428" width="10.28515625" customWidth="1"/>
    <col min="7431" max="7431" width="11.28515625" customWidth="1"/>
    <col min="7434" max="7434" width="12.28515625" customWidth="1"/>
    <col min="7435" max="7435" width="11.28515625" customWidth="1"/>
    <col min="7439" max="7439" width="11.140625" customWidth="1"/>
    <col min="7440" max="7440" width="14.7109375" customWidth="1"/>
    <col min="7444" max="7444" width="13" customWidth="1"/>
    <col min="7446" max="7446" width="12.5703125" customWidth="1"/>
    <col min="7448" max="7448" width="9.85546875" bestFit="1" customWidth="1"/>
    <col min="7450" max="7450" width="12.5703125" customWidth="1"/>
    <col min="7451" max="7451" width="12.28515625" customWidth="1"/>
    <col min="7681" max="7682" width="15.28515625" customWidth="1"/>
    <col min="7684" max="7684" width="10.28515625" customWidth="1"/>
    <col min="7687" max="7687" width="11.28515625" customWidth="1"/>
    <col min="7690" max="7690" width="12.28515625" customWidth="1"/>
    <col min="7691" max="7691" width="11.28515625" customWidth="1"/>
    <col min="7695" max="7695" width="11.140625" customWidth="1"/>
    <col min="7696" max="7696" width="14.7109375" customWidth="1"/>
    <col min="7700" max="7700" width="13" customWidth="1"/>
    <col min="7702" max="7702" width="12.5703125" customWidth="1"/>
    <col min="7704" max="7704" width="9.85546875" bestFit="1" customWidth="1"/>
    <col min="7706" max="7706" width="12.5703125" customWidth="1"/>
    <col min="7707" max="7707" width="12.28515625" customWidth="1"/>
    <col min="7937" max="7938" width="15.28515625" customWidth="1"/>
    <col min="7940" max="7940" width="10.28515625" customWidth="1"/>
    <col min="7943" max="7943" width="11.28515625" customWidth="1"/>
    <col min="7946" max="7946" width="12.28515625" customWidth="1"/>
    <col min="7947" max="7947" width="11.28515625" customWidth="1"/>
    <col min="7951" max="7951" width="11.140625" customWidth="1"/>
    <col min="7952" max="7952" width="14.7109375" customWidth="1"/>
    <col min="7956" max="7956" width="13" customWidth="1"/>
    <col min="7958" max="7958" width="12.5703125" customWidth="1"/>
    <col min="7960" max="7960" width="9.85546875" bestFit="1" customWidth="1"/>
    <col min="7962" max="7962" width="12.5703125" customWidth="1"/>
    <col min="7963" max="7963" width="12.28515625" customWidth="1"/>
    <col min="8193" max="8194" width="15.28515625" customWidth="1"/>
    <col min="8196" max="8196" width="10.28515625" customWidth="1"/>
    <col min="8199" max="8199" width="11.28515625" customWidth="1"/>
    <col min="8202" max="8202" width="12.28515625" customWidth="1"/>
    <col min="8203" max="8203" width="11.28515625" customWidth="1"/>
    <col min="8207" max="8207" width="11.140625" customWidth="1"/>
    <col min="8208" max="8208" width="14.7109375" customWidth="1"/>
    <col min="8212" max="8212" width="13" customWidth="1"/>
    <col min="8214" max="8214" width="12.5703125" customWidth="1"/>
    <col min="8216" max="8216" width="9.85546875" bestFit="1" customWidth="1"/>
    <col min="8218" max="8218" width="12.5703125" customWidth="1"/>
    <col min="8219" max="8219" width="12.28515625" customWidth="1"/>
    <col min="8449" max="8450" width="15.28515625" customWidth="1"/>
    <col min="8452" max="8452" width="10.28515625" customWidth="1"/>
    <col min="8455" max="8455" width="11.28515625" customWidth="1"/>
    <col min="8458" max="8458" width="12.28515625" customWidth="1"/>
    <col min="8459" max="8459" width="11.28515625" customWidth="1"/>
    <col min="8463" max="8463" width="11.140625" customWidth="1"/>
    <col min="8464" max="8464" width="14.7109375" customWidth="1"/>
    <col min="8468" max="8468" width="13" customWidth="1"/>
    <col min="8470" max="8470" width="12.5703125" customWidth="1"/>
    <col min="8472" max="8472" width="9.85546875" bestFit="1" customWidth="1"/>
    <col min="8474" max="8474" width="12.5703125" customWidth="1"/>
    <col min="8475" max="8475" width="12.28515625" customWidth="1"/>
    <col min="8705" max="8706" width="15.28515625" customWidth="1"/>
    <col min="8708" max="8708" width="10.28515625" customWidth="1"/>
    <col min="8711" max="8711" width="11.28515625" customWidth="1"/>
    <col min="8714" max="8714" width="12.28515625" customWidth="1"/>
    <col min="8715" max="8715" width="11.28515625" customWidth="1"/>
    <col min="8719" max="8719" width="11.140625" customWidth="1"/>
    <col min="8720" max="8720" width="14.7109375" customWidth="1"/>
    <col min="8724" max="8724" width="13" customWidth="1"/>
    <col min="8726" max="8726" width="12.5703125" customWidth="1"/>
    <col min="8728" max="8728" width="9.85546875" bestFit="1" customWidth="1"/>
    <col min="8730" max="8730" width="12.5703125" customWidth="1"/>
    <col min="8731" max="8731" width="12.28515625" customWidth="1"/>
    <col min="8961" max="8962" width="15.28515625" customWidth="1"/>
    <col min="8964" max="8964" width="10.28515625" customWidth="1"/>
    <col min="8967" max="8967" width="11.28515625" customWidth="1"/>
    <col min="8970" max="8970" width="12.28515625" customWidth="1"/>
    <col min="8971" max="8971" width="11.28515625" customWidth="1"/>
    <col min="8975" max="8975" width="11.140625" customWidth="1"/>
    <col min="8976" max="8976" width="14.7109375" customWidth="1"/>
    <col min="8980" max="8980" width="13" customWidth="1"/>
    <col min="8982" max="8982" width="12.5703125" customWidth="1"/>
    <col min="8984" max="8984" width="9.85546875" bestFit="1" customWidth="1"/>
    <col min="8986" max="8986" width="12.5703125" customWidth="1"/>
    <col min="8987" max="8987" width="12.28515625" customWidth="1"/>
    <col min="9217" max="9218" width="15.28515625" customWidth="1"/>
    <col min="9220" max="9220" width="10.28515625" customWidth="1"/>
    <col min="9223" max="9223" width="11.28515625" customWidth="1"/>
    <col min="9226" max="9226" width="12.28515625" customWidth="1"/>
    <col min="9227" max="9227" width="11.28515625" customWidth="1"/>
    <col min="9231" max="9231" width="11.140625" customWidth="1"/>
    <col min="9232" max="9232" width="14.7109375" customWidth="1"/>
    <col min="9236" max="9236" width="13" customWidth="1"/>
    <col min="9238" max="9238" width="12.5703125" customWidth="1"/>
    <col min="9240" max="9240" width="9.85546875" bestFit="1" customWidth="1"/>
    <col min="9242" max="9242" width="12.5703125" customWidth="1"/>
    <col min="9243" max="9243" width="12.28515625" customWidth="1"/>
    <col min="9473" max="9474" width="15.28515625" customWidth="1"/>
    <col min="9476" max="9476" width="10.28515625" customWidth="1"/>
    <col min="9479" max="9479" width="11.28515625" customWidth="1"/>
    <col min="9482" max="9482" width="12.28515625" customWidth="1"/>
    <col min="9483" max="9483" width="11.28515625" customWidth="1"/>
    <col min="9487" max="9487" width="11.140625" customWidth="1"/>
    <col min="9488" max="9488" width="14.7109375" customWidth="1"/>
    <col min="9492" max="9492" width="13" customWidth="1"/>
    <col min="9494" max="9494" width="12.5703125" customWidth="1"/>
    <col min="9496" max="9496" width="9.85546875" bestFit="1" customWidth="1"/>
    <col min="9498" max="9498" width="12.5703125" customWidth="1"/>
    <col min="9499" max="9499" width="12.28515625" customWidth="1"/>
    <col min="9729" max="9730" width="15.28515625" customWidth="1"/>
    <col min="9732" max="9732" width="10.28515625" customWidth="1"/>
    <col min="9735" max="9735" width="11.28515625" customWidth="1"/>
    <col min="9738" max="9738" width="12.28515625" customWidth="1"/>
    <col min="9739" max="9739" width="11.28515625" customWidth="1"/>
    <col min="9743" max="9743" width="11.140625" customWidth="1"/>
    <col min="9744" max="9744" width="14.7109375" customWidth="1"/>
    <col min="9748" max="9748" width="13" customWidth="1"/>
    <col min="9750" max="9750" width="12.5703125" customWidth="1"/>
    <col min="9752" max="9752" width="9.85546875" bestFit="1" customWidth="1"/>
    <col min="9754" max="9754" width="12.5703125" customWidth="1"/>
    <col min="9755" max="9755" width="12.28515625" customWidth="1"/>
    <col min="9985" max="9986" width="15.28515625" customWidth="1"/>
    <col min="9988" max="9988" width="10.28515625" customWidth="1"/>
    <col min="9991" max="9991" width="11.28515625" customWidth="1"/>
    <col min="9994" max="9994" width="12.28515625" customWidth="1"/>
    <col min="9995" max="9995" width="11.28515625" customWidth="1"/>
    <col min="9999" max="9999" width="11.140625" customWidth="1"/>
    <col min="10000" max="10000" width="14.7109375" customWidth="1"/>
    <col min="10004" max="10004" width="13" customWidth="1"/>
    <col min="10006" max="10006" width="12.5703125" customWidth="1"/>
    <col min="10008" max="10008" width="9.85546875" bestFit="1" customWidth="1"/>
    <col min="10010" max="10010" width="12.5703125" customWidth="1"/>
    <col min="10011" max="10011" width="12.28515625" customWidth="1"/>
    <col min="10241" max="10242" width="15.28515625" customWidth="1"/>
    <col min="10244" max="10244" width="10.28515625" customWidth="1"/>
    <col min="10247" max="10247" width="11.28515625" customWidth="1"/>
    <col min="10250" max="10250" width="12.28515625" customWidth="1"/>
    <col min="10251" max="10251" width="11.28515625" customWidth="1"/>
    <col min="10255" max="10255" width="11.140625" customWidth="1"/>
    <col min="10256" max="10256" width="14.7109375" customWidth="1"/>
    <col min="10260" max="10260" width="13" customWidth="1"/>
    <col min="10262" max="10262" width="12.5703125" customWidth="1"/>
    <col min="10264" max="10264" width="9.85546875" bestFit="1" customWidth="1"/>
    <col min="10266" max="10266" width="12.5703125" customWidth="1"/>
    <col min="10267" max="10267" width="12.28515625" customWidth="1"/>
    <col min="10497" max="10498" width="15.28515625" customWidth="1"/>
    <col min="10500" max="10500" width="10.28515625" customWidth="1"/>
    <col min="10503" max="10503" width="11.28515625" customWidth="1"/>
    <col min="10506" max="10506" width="12.28515625" customWidth="1"/>
    <col min="10507" max="10507" width="11.28515625" customWidth="1"/>
    <col min="10511" max="10511" width="11.140625" customWidth="1"/>
    <col min="10512" max="10512" width="14.7109375" customWidth="1"/>
    <col min="10516" max="10516" width="13" customWidth="1"/>
    <col min="10518" max="10518" width="12.5703125" customWidth="1"/>
    <col min="10520" max="10520" width="9.85546875" bestFit="1" customWidth="1"/>
    <col min="10522" max="10522" width="12.5703125" customWidth="1"/>
    <col min="10523" max="10523" width="12.28515625" customWidth="1"/>
    <col min="10753" max="10754" width="15.28515625" customWidth="1"/>
    <col min="10756" max="10756" width="10.28515625" customWidth="1"/>
    <col min="10759" max="10759" width="11.28515625" customWidth="1"/>
    <col min="10762" max="10762" width="12.28515625" customWidth="1"/>
    <col min="10763" max="10763" width="11.28515625" customWidth="1"/>
    <col min="10767" max="10767" width="11.140625" customWidth="1"/>
    <col min="10768" max="10768" width="14.7109375" customWidth="1"/>
    <col min="10772" max="10772" width="13" customWidth="1"/>
    <col min="10774" max="10774" width="12.5703125" customWidth="1"/>
    <col min="10776" max="10776" width="9.85546875" bestFit="1" customWidth="1"/>
    <col min="10778" max="10778" width="12.5703125" customWidth="1"/>
    <col min="10779" max="10779" width="12.28515625" customWidth="1"/>
    <col min="11009" max="11010" width="15.28515625" customWidth="1"/>
    <col min="11012" max="11012" width="10.28515625" customWidth="1"/>
    <col min="11015" max="11015" width="11.28515625" customWidth="1"/>
    <col min="11018" max="11018" width="12.28515625" customWidth="1"/>
    <col min="11019" max="11019" width="11.28515625" customWidth="1"/>
    <col min="11023" max="11023" width="11.140625" customWidth="1"/>
    <col min="11024" max="11024" width="14.7109375" customWidth="1"/>
    <col min="11028" max="11028" width="13" customWidth="1"/>
    <col min="11030" max="11030" width="12.5703125" customWidth="1"/>
    <col min="11032" max="11032" width="9.85546875" bestFit="1" customWidth="1"/>
    <col min="11034" max="11034" width="12.5703125" customWidth="1"/>
    <col min="11035" max="11035" width="12.28515625" customWidth="1"/>
    <col min="11265" max="11266" width="15.28515625" customWidth="1"/>
    <col min="11268" max="11268" width="10.28515625" customWidth="1"/>
    <col min="11271" max="11271" width="11.28515625" customWidth="1"/>
    <col min="11274" max="11274" width="12.28515625" customWidth="1"/>
    <col min="11275" max="11275" width="11.28515625" customWidth="1"/>
    <col min="11279" max="11279" width="11.140625" customWidth="1"/>
    <col min="11280" max="11280" width="14.7109375" customWidth="1"/>
    <col min="11284" max="11284" width="13" customWidth="1"/>
    <col min="11286" max="11286" width="12.5703125" customWidth="1"/>
    <col min="11288" max="11288" width="9.85546875" bestFit="1" customWidth="1"/>
    <col min="11290" max="11290" width="12.5703125" customWidth="1"/>
    <col min="11291" max="11291" width="12.28515625" customWidth="1"/>
    <col min="11521" max="11522" width="15.28515625" customWidth="1"/>
    <col min="11524" max="11524" width="10.28515625" customWidth="1"/>
    <col min="11527" max="11527" width="11.28515625" customWidth="1"/>
    <col min="11530" max="11530" width="12.28515625" customWidth="1"/>
    <col min="11531" max="11531" width="11.28515625" customWidth="1"/>
    <col min="11535" max="11535" width="11.140625" customWidth="1"/>
    <col min="11536" max="11536" width="14.7109375" customWidth="1"/>
    <col min="11540" max="11540" width="13" customWidth="1"/>
    <col min="11542" max="11542" width="12.5703125" customWidth="1"/>
    <col min="11544" max="11544" width="9.85546875" bestFit="1" customWidth="1"/>
    <col min="11546" max="11546" width="12.5703125" customWidth="1"/>
    <col min="11547" max="11547" width="12.28515625" customWidth="1"/>
    <col min="11777" max="11778" width="15.28515625" customWidth="1"/>
    <col min="11780" max="11780" width="10.28515625" customWidth="1"/>
    <col min="11783" max="11783" width="11.28515625" customWidth="1"/>
    <col min="11786" max="11786" width="12.28515625" customWidth="1"/>
    <col min="11787" max="11787" width="11.28515625" customWidth="1"/>
    <col min="11791" max="11791" width="11.140625" customWidth="1"/>
    <col min="11792" max="11792" width="14.7109375" customWidth="1"/>
    <col min="11796" max="11796" width="13" customWidth="1"/>
    <col min="11798" max="11798" width="12.5703125" customWidth="1"/>
    <col min="11800" max="11800" width="9.85546875" bestFit="1" customWidth="1"/>
    <col min="11802" max="11802" width="12.5703125" customWidth="1"/>
    <col min="11803" max="11803" width="12.28515625" customWidth="1"/>
    <col min="12033" max="12034" width="15.28515625" customWidth="1"/>
    <col min="12036" max="12036" width="10.28515625" customWidth="1"/>
    <col min="12039" max="12039" width="11.28515625" customWidth="1"/>
    <col min="12042" max="12042" width="12.28515625" customWidth="1"/>
    <col min="12043" max="12043" width="11.28515625" customWidth="1"/>
    <col min="12047" max="12047" width="11.140625" customWidth="1"/>
    <col min="12048" max="12048" width="14.7109375" customWidth="1"/>
    <col min="12052" max="12052" width="13" customWidth="1"/>
    <col min="12054" max="12054" width="12.5703125" customWidth="1"/>
    <col min="12056" max="12056" width="9.85546875" bestFit="1" customWidth="1"/>
    <col min="12058" max="12058" width="12.5703125" customWidth="1"/>
    <col min="12059" max="12059" width="12.28515625" customWidth="1"/>
    <col min="12289" max="12290" width="15.28515625" customWidth="1"/>
    <col min="12292" max="12292" width="10.28515625" customWidth="1"/>
    <col min="12295" max="12295" width="11.28515625" customWidth="1"/>
    <col min="12298" max="12298" width="12.28515625" customWidth="1"/>
    <col min="12299" max="12299" width="11.28515625" customWidth="1"/>
    <col min="12303" max="12303" width="11.140625" customWidth="1"/>
    <col min="12304" max="12304" width="14.7109375" customWidth="1"/>
    <col min="12308" max="12308" width="13" customWidth="1"/>
    <col min="12310" max="12310" width="12.5703125" customWidth="1"/>
    <col min="12312" max="12312" width="9.85546875" bestFit="1" customWidth="1"/>
    <col min="12314" max="12314" width="12.5703125" customWidth="1"/>
    <col min="12315" max="12315" width="12.28515625" customWidth="1"/>
    <col min="12545" max="12546" width="15.28515625" customWidth="1"/>
    <col min="12548" max="12548" width="10.28515625" customWidth="1"/>
    <col min="12551" max="12551" width="11.28515625" customWidth="1"/>
    <col min="12554" max="12554" width="12.28515625" customWidth="1"/>
    <col min="12555" max="12555" width="11.28515625" customWidth="1"/>
    <col min="12559" max="12559" width="11.140625" customWidth="1"/>
    <col min="12560" max="12560" width="14.7109375" customWidth="1"/>
    <col min="12564" max="12564" width="13" customWidth="1"/>
    <col min="12566" max="12566" width="12.5703125" customWidth="1"/>
    <col min="12568" max="12568" width="9.85546875" bestFit="1" customWidth="1"/>
    <col min="12570" max="12570" width="12.5703125" customWidth="1"/>
    <col min="12571" max="12571" width="12.28515625" customWidth="1"/>
    <col min="12801" max="12802" width="15.28515625" customWidth="1"/>
    <col min="12804" max="12804" width="10.28515625" customWidth="1"/>
    <col min="12807" max="12807" width="11.28515625" customWidth="1"/>
    <col min="12810" max="12810" width="12.28515625" customWidth="1"/>
    <col min="12811" max="12811" width="11.28515625" customWidth="1"/>
    <col min="12815" max="12815" width="11.140625" customWidth="1"/>
    <col min="12816" max="12816" width="14.7109375" customWidth="1"/>
    <col min="12820" max="12820" width="13" customWidth="1"/>
    <col min="12822" max="12822" width="12.5703125" customWidth="1"/>
    <col min="12824" max="12824" width="9.85546875" bestFit="1" customWidth="1"/>
    <col min="12826" max="12826" width="12.5703125" customWidth="1"/>
    <col min="12827" max="12827" width="12.28515625" customWidth="1"/>
    <col min="13057" max="13058" width="15.28515625" customWidth="1"/>
    <col min="13060" max="13060" width="10.28515625" customWidth="1"/>
    <col min="13063" max="13063" width="11.28515625" customWidth="1"/>
    <col min="13066" max="13066" width="12.28515625" customWidth="1"/>
    <col min="13067" max="13067" width="11.28515625" customWidth="1"/>
    <col min="13071" max="13071" width="11.140625" customWidth="1"/>
    <col min="13072" max="13072" width="14.7109375" customWidth="1"/>
    <col min="13076" max="13076" width="13" customWidth="1"/>
    <col min="13078" max="13078" width="12.5703125" customWidth="1"/>
    <col min="13080" max="13080" width="9.85546875" bestFit="1" customWidth="1"/>
    <col min="13082" max="13082" width="12.5703125" customWidth="1"/>
    <col min="13083" max="13083" width="12.28515625" customWidth="1"/>
    <col min="13313" max="13314" width="15.28515625" customWidth="1"/>
    <col min="13316" max="13316" width="10.28515625" customWidth="1"/>
    <col min="13319" max="13319" width="11.28515625" customWidth="1"/>
    <col min="13322" max="13322" width="12.28515625" customWidth="1"/>
    <col min="13323" max="13323" width="11.28515625" customWidth="1"/>
    <col min="13327" max="13327" width="11.140625" customWidth="1"/>
    <col min="13328" max="13328" width="14.7109375" customWidth="1"/>
    <col min="13332" max="13332" width="13" customWidth="1"/>
    <col min="13334" max="13334" width="12.5703125" customWidth="1"/>
    <col min="13336" max="13336" width="9.85546875" bestFit="1" customWidth="1"/>
    <col min="13338" max="13338" width="12.5703125" customWidth="1"/>
    <col min="13339" max="13339" width="12.28515625" customWidth="1"/>
    <col min="13569" max="13570" width="15.28515625" customWidth="1"/>
    <col min="13572" max="13572" width="10.28515625" customWidth="1"/>
    <col min="13575" max="13575" width="11.28515625" customWidth="1"/>
    <col min="13578" max="13578" width="12.28515625" customWidth="1"/>
    <col min="13579" max="13579" width="11.28515625" customWidth="1"/>
    <col min="13583" max="13583" width="11.140625" customWidth="1"/>
    <col min="13584" max="13584" width="14.7109375" customWidth="1"/>
    <col min="13588" max="13588" width="13" customWidth="1"/>
    <col min="13590" max="13590" width="12.5703125" customWidth="1"/>
    <col min="13592" max="13592" width="9.85546875" bestFit="1" customWidth="1"/>
    <col min="13594" max="13594" width="12.5703125" customWidth="1"/>
    <col min="13595" max="13595" width="12.28515625" customWidth="1"/>
    <col min="13825" max="13826" width="15.28515625" customWidth="1"/>
    <col min="13828" max="13828" width="10.28515625" customWidth="1"/>
    <col min="13831" max="13831" width="11.28515625" customWidth="1"/>
    <col min="13834" max="13834" width="12.28515625" customWidth="1"/>
    <col min="13835" max="13835" width="11.28515625" customWidth="1"/>
    <col min="13839" max="13839" width="11.140625" customWidth="1"/>
    <col min="13840" max="13840" width="14.7109375" customWidth="1"/>
    <col min="13844" max="13844" width="13" customWidth="1"/>
    <col min="13846" max="13846" width="12.5703125" customWidth="1"/>
    <col min="13848" max="13848" width="9.85546875" bestFit="1" customWidth="1"/>
    <col min="13850" max="13850" width="12.5703125" customWidth="1"/>
    <col min="13851" max="13851" width="12.28515625" customWidth="1"/>
    <col min="14081" max="14082" width="15.28515625" customWidth="1"/>
    <col min="14084" max="14084" width="10.28515625" customWidth="1"/>
    <col min="14087" max="14087" width="11.28515625" customWidth="1"/>
    <col min="14090" max="14090" width="12.28515625" customWidth="1"/>
    <col min="14091" max="14091" width="11.28515625" customWidth="1"/>
    <col min="14095" max="14095" width="11.140625" customWidth="1"/>
    <col min="14096" max="14096" width="14.7109375" customWidth="1"/>
    <col min="14100" max="14100" width="13" customWidth="1"/>
    <col min="14102" max="14102" width="12.5703125" customWidth="1"/>
    <col min="14104" max="14104" width="9.85546875" bestFit="1" customWidth="1"/>
    <col min="14106" max="14106" width="12.5703125" customWidth="1"/>
    <col min="14107" max="14107" width="12.28515625" customWidth="1"/>
    <col min="14337" max="14338" width="15.28515625" customWidth="1"/>
    <col min="14340" max="14340" width="10.28515625" customWidth="1"/>
    <col min="14343" max="14343" width="11.28515625" customWidth="1"/>
    <col min="14346" max="14346" width="12.28515625" customWidth="1"/>
    <col min="14347" max="14347" width="11.28515625" customWidth="1"/>
    <col min="14351" max="14351" width="11.140625" customWidth="1"/>
    <col min="14352" max="14352" width="14.7109375" customWidth="1"/>
    <col min="14356" max="14356" width="13" customWidth="1"/>
    <col min="14358" max="14358" width="12.5703125" customWidth="1"/>
    <col min="14360" max="14360" width="9.85546875" bestFit="1" customWidth="1"/>
    <col min="14362" max="14362" width="12.5703125" customWidth="1"/>
    <col min="14363" max="14363" width="12.28515625" customWidth="1"/>
    <col min="14593" max="14594" width="15.28515625" customWidth="1"/>
    <col min="14596" max="14596" width="10.28515625" customWidth="1"/>
    <col min="14599" max="14599" width="11.28515625" customWidth="1"/>
    <col min="14602" max="14602" width="12.28515625" customWidth="1"/>
    <col min="14603" max="14603" width="11.28515625" customWidth="1"/>
    <col min="14607" max="14607" width="11.140625" customWidth="1"/>
    <col min="14608" max="14608" width="14.7109375" customWidth="1"/>
    <col min="14612" max="14612" width="13" customWidth="1"/>
    <col min="14614" max="14614" width="12.5703125" customWidth="1"/>
    <col min="14616" max="14616" width="9.85546875" bestFit="1" customWidth="1"/>
    <col min="14618" max="14618" width="12.5703125" customWidth="1"/>
    <col min="14619" max="14619" width="12.28515625" customWidth="1"/>
    <col min="14849" max="14850" width="15.28515625" customWidth="1"/>
    <col min="14852" max="14852" width="10.28515625" customWidth="1"/>
    <col min="14855" max="14855" width="11.28515625" customWidth="1"/>
    <col min="14858" max="14858" width="12.28515625" customWidth="1"/>
    <col min="14859" max="14859" width="11.28515625" customWidth="1"/>
    <col min="14863" max="14863" width="11.140625" customWidth="1"/>
    <col min="14864" max="14864" width="14.7109375" customWidth="1"/>
    <col min="14868" max="14868" width="13" customWidth="1"/>
    <col min="14870" max="14870" width="12.5703125" customWidth="1"/>
    <col min="14872" max="14872" width="9.85546875" bestFit="1" customWidth="1"/>
    <col min="14874" max="14874" width="12.5703125" customWidth="1"/>
    <col min="14875" max="14875" width="12.28515625" customWidth="1"/>
    <col min="15105" max="15106" width="15.28515625" customWidth="1"/>
    <col min="15108" max="15108" width="10.28515625" customWidth="1"/>
    <col min="15111" max="15111" width="11.28515625" customWidth="1"/>
    <col min="15114" max="15114" width="12.28515625" customWidth="1"/>
    <col min="15115" max="15115" width="11.28515625" customWidth="1"/>
    <col min="15119" max="15119" width="11.140625" customWidth="1"/>
    <col min="15120" max="15120" width="14.7109375" customWidth="1"/>
    <col min="15124" max="15124" width="13" customWidth="1"/>
    <col min="15126" max="15126" width="12.5703125" customWidth="1"/>
    <col min="15128" max="15128" width="9.85546875" bestFit="1" customWidth="1"/>
    <col min="15130" max="15130" width="12.5703125" customWidth="1"/>
    <col min="15131" max="15131" width="12.28515625" customWidth="1"/>
    <col min="15361" max="15362" width="15.28515625" customWidth="1"/>
    <col min="15364" max="15364" width="10.28515625" customWidth="1"/>
    <col min="15367" max="15367" width="11.28515625" customWidth="1"/>
    <col min="15370" max="15370" width="12.28515625" customWidth="1"/>
    <col min="15371" max="15371" width="11.28515625" customWidth="1"/>
    <col min="15375" max="15375" width="11.140625" customWidth="1"/>
    <col min="15376" max="15376" width="14.7109375" customWidth="1"/>
    <col min="15380" max="15380" width="13" customWidth="1"/>
    <col min="15382" max="15382" width="12.5703125" customWidth="1"/>
    <col min="15384" max="15384" width="9.85546875" bestFit="1" customWidth="1"/>
    <col min="15386" max="15386" width="12.5703125" customWidth="1"/>
    <col min="15387" max="15387" width="12.28515625" customWidth="1"/>
    <col min="15617" max="15618" width="15.28515625" customWidth="1"/>
    <col min="15620" max="15620" width="10.28515625" customWidth="1"/>
    <col min="15623" max="15623" width="11.28515625" customWidth="1"/>
    <col min="15626" max="15626" width="12.28515625" customWidth="1"/>
    <col min="15627" max="15627" width="11.28515625" customWidth="1"/>
    <col min="15631" max="15631" width="11.140625" customWidth="1"/>
    <col min="15632" max="15632" width="14.7109375" customWidth="1"/>
    <col min="15636" max="15636" width="13" customWidth="1"/>
    <col min="15638" max="15638" width="12.5703125" customWidth="1"/>
    <col min="15640" max="15640" width="9.85546875" bestFit="1" customWidth="1"/>
    <col min="15642" max="15642" width="12.5703125" customWidth="1"/>
    <col min="15643" max="15643" width="12.28515625" customWidth="1"/>
    <col min="15873" max="15874" width="15.28515625" customWidth="1"/>
    <col min="15876" max="15876" width="10.28515625" customWidth="1"/>
    <col min="15879" max="15879" width="11.28515625" customWidth="1"/>
    <col min="15882" max="15882" width="12.28515625" customWidth="1"/>
    <col min="15883" max="15883" width="11.28515625" customWidth="1"/>
    <col min="15887" max="15887" width="11.140625" customWidth="1"/>
    <col min="15888" max="15888" width="14.7109375" customWidth="1"/>
    <col min="15892" max="15892" width="13" customWidth="1"/>
    <col min="15894" max="15894" width="12.5703125" customWidth="1"/>
    <col min="15896" max="15896" width="9.85546875" bestFit="1" customWidth="1"/>
    <col min="15898" max="15898" width="12.5703125" customWidth="1"/>
    <col min="15899" max="15899" width="12.28515625" customWidth="1"/>
    <col min="16129" max="16130" width="15.28515625" customWidth="1"/>
    <col min="16132" max="16132" width="10.28515625" customWidth="1"/>
    <col min="16135" max="16135" width="11.28515625" customWidth="1"/>
    <col min="16138" max="16138" width="12.28515625" customWidth="1"/>
    <col min="16139" max="16139" width="11.28515625" customWidth="1"/>
    <col min="16143" max="16143" width="11.140625" customWidth="1"/>
    <col min="16144" max="16144" width="14.7109375" customWidth="1"/>
    <col min="16148" max="16148" width="13" customWidth="1"/>
    <col min="16150" max="16150" width="12.5703125" customWidth="1"/>
    <col min="16152" max="16152" width="9.85546875" bestFit="1" customWidth="1"/>
    <col min="16154" max="16154" width="12.5703125" customWidth="1"/>
    <col min="16155" max="16155" width="12.28515625" customWidth="1"/>
  </cols>
  <sheetData>
    <row r="2" spans="1:28">
      <c r="A2" s="28" t="s">
        <v>918</v>
      </c>
      <c r="B2" s="28"/>
      <c r="C2" s="28"/>
      <c r="D2" s="28"/>
      <c r="O2" s="634"/>
    </row>
    <row r="3" spans="1:28" ht="30">
      <c r="A3" s="223"/>
      <c r="B3" s="223" t="s">
        <v>8</v>
      </c>
      <c r="C3" s="223"/>
      <c r="D3" s="223" t="s">
        <v>769</v>
      </c>
      <c r="E3" s="223" t="s">
        <v>769</v>
      </c>
      <c r="F3" s="223" t="s">
        <v>611</v>
      </c>
      <c r="G3" s="223" t="s">
        <v>919</v>
      </c>
      <c r="H3" s="223" t="s">
        <v>613</v>
      </c>
      <c r="I3" s="223" t="s">
        <v>611</v>
      </c>
      <c r="J3" s="223" t="s">
        <v>614</v>
      </c>
      <c r="K3" s="223" t="s">
        <v>615</v>
      </c>
      <c r="L3" s="223" t="s">
        <v>613</v>
      </c>
      <c r="M3" s="223" t="s">
        <v>611</v>
      </c>
      <c r="N3" s="223" t="s">
        <v>616</v>
      </c>
      <c r="O3" s="224" t="s">
        <v>617</v>
      </c>
      <c r="P3" s="223" t="s">
        <v>7</v>
      </c>
      <c r="Q3" s="223" t="s">
        <v>920</v>
      </c>
      <c r="T3" s="225" t="s">
        <v>921</v>
      </c>
      <c r="V3" s="226" t="s">
        <v>47</v>
      </c>
      <c r="W3" s="227">
        <v>18</v>
      </c>
      <c r="X3" s="632">
        <v>75.98</v>
      </c>
      <c r="Y3">
        <v>0.5</v>
      </c>
      <c r="Z3" s="228">
        <f t="shared" ref="Z3:Z8" si="0">X3*Y3</f>
        <v>37.99</v>
      </c>
      <c r="AA3" s="229">
        <f t="shared" ref="AA3:AA8" si="1">Z3*2</f>
        <v>75.98</v>
      </c>
    </row>
    <row r="4" spans="1:28">
      <c r="A4" s="230" t="s">
        <v>77</v>
      </c>
      <c r="B4" s="11"/>
      <c r="C4" s="231" t="s">
        <v>94</v>
      </c>
      <c r="D4" s="232" t="s">
        <v>79</v>
      </c>
      <c r="E4" s="232" t="s">
        <v>18</v>
      </c>
      <c r="F4" s="59">
        <v>1.08</v>
      </c>
      <c r="G4" s="684">
        <v>51.77</v>
      </c>
      <c r="H4" s="60">
        <v>0.5</v>
      </c>
      <c r="I4" s="59">
        <v>0.8</v>
      </c>
      <c r="J4" s="684">
        <v>85.46</v>
      </c>
      <c r="K4" s="684">
        <v>53.01</v>
      </c>
      <c r="L4" s="60">
        <v>0.5</v>
      </c>
      <c r="M4" s="59">
        <v>1</v>
      </c>
      <c r="N4" s="685">
        <v>2.9899999999999998</v>
      </c>
      <c r="O4" s="233">
        <f>ROUNDUP((F4*(G4-G4*H4)+I4*((J4+K4)-(J4+K4)*L4)/2+M4*N4)*1.015,2)</f>
        <v>59.519999999999996</v>
      </c>
      <c r="P4" s="11" t="s">
        <v>14</v>
      </c>
      <c r="Q4" s="234">
        <v>45689</v>
      </c>
      <c r="V4" s="226" t="s">
        <v>49</v>
      </c>
      <c r="W4" s="227">
        <v>22</v>
      </c>
      <c r="X4" s="632">
        <v>80.599999999999994</v>
      </c>
      <c r="Y4">
        <v>0.5</v>
      </c>
      <c r="Z4" s="228">
        <f t="shared" si="0"/>
        <v>40.299999999999997</v>
      </c>
      <c r="AA4" s="229">
        <f t="shared" si="1"/>
        <v>80.599999999999994</v>
      </c>
    </row>
    <row r="5" spans="1:28">
      <c r="A5" s="235" t="s">
        <v>77</v>
      </c>
      <c r="B5" s="11"/>
      <c r="C5" s="223" t="s">
        <v>47</v>
      </c>
      <c r="D5" s="227" t="s">
        <v>80</v>
      </c>
      <c r="E5" s="227" t="s">
        <v>22</v>
      </c>
      <c r="F5" s="11">
        <v>1.08</v>
      </c>
      <c r="G5" s="630">
        <v>61.18</v>
      </c>
      <c r="H5" s="12">
        <v>0.5</v>
      </c>
      <c r="I5" s="11">
        <v>0.8</v>
      </c>
      <c r="J5" s="630">
        <v>87.8</v>
      </c>
      <c r="K5" s="630">
        <v>60.11</v>
      </c>
      <c r="L5" s="12">
        <f>L4</f>
        <v>0.5</v>
      </c>
      <c r="M5" s="11">
        <v>1</v>
      </c>
      <c r="N5" s="631">
        <v>2.9899999999999998</v>
      </c>
      <c r="O5" s="236">
        <f t="shared" ref="O5:O13" si="2">ROUNDUP((F5*(G5-G5*H5)+I5*((J5+K5)-(J5+K5)*L5)/2+M5*N5)*1.015,2)</f>
        <v>66.600000000000009</v>
      </c>
      <c r="P5" s="11" t="s">
        <v>14</v>
      </c>
      <c r="Q5" s="234">
        <f>Q4</f>
        <v>45689</v>
      </c>
      <c r="V5" s="226" t="s">
        <v>51</v>
      </c>
      <c r="W5" s="227">
        <v>28</v>
      </c>
      <c r="X5" s="632">
        <v>108.25</v>
      </c>
      <c r="Y5">
        <v>0.5</v>
      </c>
      <c r="Z5" s="228">
        <f t="shared" si="0"/>
        <v>54.125</v>
      </c>
      <c r="AA5" s="229">
        <f t="shared" si="1"/>
        <v>108.25</v>
      </c>
    </row>
    <row r="6" spans="1:28">
      <c r="A6" s="235" t="s">
        <v>77</v>
      </c>
      <c r="B6" s="11"/>
      <c r="C6" s="223" t="s">
        <v>49</v>
      </c>
      <c r="D6" s="227" t="s">
        <v>81</v>
      </c>
      <c r="E6" s="227" t="s">
        <v>24</v>
      </c>
      <c r="F6" s="11">
        <v>1.08</v>
      </c>
      <c r="G6" s="630">
        <v>82.32</v>
      </c>
      <c r="H6" s="12">
        <v>0.5</v>
      </c>
      <c r="I6" s="11">
        <v>0.8</v>
      </c>
      <c r="J6" s="630">
        <v>92.57</v>
      </c>
      <c r="K6" s="630">
        <v>72.8</v>
      </c>
      <c r="L6" s="12">
        <f t="shared" ref="L6:L15" si="3">L5</f>
        <v>0.5</v>
      </c>
      <c r="M6" s="11">
        <v>1</v>
      </c>
      <c r="N6" s="631">
        <v>3.5879999999999996</v>
      </c>
      <c r="O6" s="236">
        <f t="shared" si="2"/>
        <v>82.34</v>
      </c>
      <c r="P6" s="11" t="s">
        <v>14</v>
      </c>
      <c r="Q6" s="234">
        <f t="shared" ref="Q6:Q15" si="4">Q5</f>
        <v>45689</v>
      </c>
      <c r="V6" s="226" t="s">
        <v>53</v>
      </c>
      <c r="W6" s="227">
        <v>35</v>
      </c>
      <c r="X6" s="632">
        <v>143</v>
      </c>
      <c r="Y6">
        <v>0.5</v>
      </c>
      <c r="Z6" s="228">
        <f t="shared" si="0"/>
        <v>71.5</v>
      </c>
      <c r="AA6" s="229">
        <f t="shared" si="1"/>
        <v>143</v>
      </c>
    </row>
    <row r="7" spans="1:28">
      <c r="A7" s="235" t="s">
        <v>77</v>
      </c>
      <c r="B7" s="11"/>
      <c r="C7" s="223" t="s">
        <v>51</v>
      </c>
      <c r="D7" s="227" t="s">
        <v>82</v>
      </c>
      <c r="E7" s="227">
        <v>1</v>
      </c>
      <c r="F7" s="11">
        <v>1.08</v>
      </c>
      <c r="G7" s="630">
        <v>101.92</v>
      </c>
      <c r="H7" s="12">
        <v>0.5</v>
      </c>
      <c r="I7" s="11">
        <v>0.7</v>
      </c>
      <c r="J7" s="630">
        <v>112.16</v>
      </c>
      <c r="K7" s="630">
        <v>91.68</v>
      </c>
      <c r="L7" s="12">
        <f t="shared" si="3"/>
        <v>0.5</v>
      </c>
      <c r="M7" s="11">
        <v>1</v>
      </c>
      <c r="N7" s="631">
        <v>4.8587500000000006</v>
      </c>
      <c r="O7" s="236">
        <f t="shared" si="2"/>
        <v>97.01</v>
      </c>
      <c r="P7" s="11" t="s">
        <v>14</v>
      </c>
      <c r="Q7" s="234">
        <f t="shared" si="4"/>
        <v>45689</v>
      </c>
      <c r="V7" s="226" t="s">
        <v>55</v>
      </c>
      <c r="W7" s="227">
        <v>42</v>
      </c>
      <c r="X7" s="632">
        <v>211.06</v>
      </c>
      <c r="Y7">
        <v>0.5</v>
      </c>
      <c r="Z7" s="228">
        <f t="shared" si="0"/>
        <v>105.53</v>
      </c>
      <c r="AA7" s="229">
        <f t="shared" si="1"/>
        <v>211.06</v>
      </c>
    </row>
    <row r="8" spans="1:28">
      <c r="A8" s="235" t="s">
        <v>77</v>
      </c>
      <c r="B8" s="11"/>
      <c r="C8" s="223" t="s">
        <v>53</v>
      </c>
      <c r="D8" s="227" t="s">
        <v>83</v>
      </c>
      <c r="E8" s="227">
        <v>1.25</v>
      </c>
      <c r="F8" s="11">
        <v>1.08</v>
      </c>
      <c r="G8" s="630">
        <v>150.78</v>
      </c>
      <c r="H8" s="12">
        <v>0.5</v>
      </c>
      <c r="I8" s="11">
        <v>0.7</v>
      </c>
      <c r="J8" s="630">
        <v>139.96</v>
      </c>
      <c r="K8" s="630">
        <v>122.49</v>
      </c>
      <c r="L8" s="12">
        <f t="shared" si="3"/>
        <v>0.5</v>
      </c>
      <c r="M8" s="11">
        <v>1</v>
      </c>
      <c r="N8" s="631">
        <v>6.0098999999999991</v>
      </c>
      <c r="O8" s="236">
        <f t="shared" si="2"/>
        <v>135.37</v>
      </c>
      <c r="P8" s="11" t="s">
        <v>14</v>
      </c>
      <c r="Q8" s="234">
        <f t="shared" si="4"/>
        <v>45689</v>
      </c>
      <c r="V8" s="226" t="s">
        <v>57</v>
      </c>
      <c r="W8" s="227">
        <v>54</v>
      </c>
      <c r="X8" s="632">
        <v>313.27999999999997</v>
      </c>
      <c r="Y8">
        <v>0.5</v>
      </c>
      <c r="Z8" s="228">
        <f t="shared" si="0"/>
        <v>156.63999999999999</v>
      </c>
      <c r="AA8" s="229">
        <f t="shared" si="1"/>
        <v>313.27999999999997</v>
      </c>
    </row>
    <row r="9" spans="1:28">
      <c r="A9" s="235" t="s">
        <v>77</v>
      </c>
      <c r="B9" s="11"/>
      <c r="C9" s="223" t="s">
        <v>55</v>
      </c>
      <c r="D9" s="227" t="s">
        <v>84</v>
      </c>
      <c r="E9" s="227">
        <v>1.5</v>
      </c>
      <c r="F9" s="11">
        <v>1.08</v>
      </c>
      <c r="G9" s="630">
        <v>185.8</v>
      </c>
      <c r="H9" s="12">
        <v>0.5</v>
      </c>
      <c r="I9" s="11">
        <v>0.7</v>
      </c>
      <c r="J9" s="630">
        <v>202.53</v>
      </c>
      <c r="K9" s="630">
        <v>211.89</v>
      </c>
      <c r="L9" s="12">
        <f t="shared" si="3"/>
        <v>0.5</v>
      </c>
      <c r="M9" s="11">
        <v>1</v>
      </c>
      <c r="N9" s="631">
        <v>7.2806499999999996</v>
      </c>
      <c r="O9" s="236">
        <f t="shared" si="2"/>
        <v>182.84</v>
      </c>
      <c r="P9" s="11" t="s">
        <v>14</v>
      </c>
      <c r="Q9" s="234">
        <f t="shared" si="4"/>
        <v>45689</v>
      </c>
    </row>
    <row r="10" spans="1:28">
      <c r="A10" s="235" t="s">
        <v>77</v>
      </c>
      <c r="B10" s="11"/>
      <c r="C10" s="223" t="s">
        <v>57</v>
      </c>
      <c r="D10" s="227" t="s">
        <v>56</v>
      </c>
      <c r="E10" s="227">
        <v>2</v>
      </c>
      <c r="F10" s="11">
        <v>1.08</v>
      </c>
      <c r="G10" s="630">
        <v>234.79</v>
      </c>
      <c r="H10" s="12">
        <v>0.5</v>
      </c>
      <c r="I10" s="11">
        <v>0.5</v>
      </c>
      <c r="J10" s="630">
        <v>234.95</v>
      </c>
      <c r="K10" s="630">
        <v>319.41000000000003</v>
      </c>
      <c r="L10" s="12">
        <f t="shared" si="3"/>
        <v>0.5</v>
      </c>
      <c r="M10" s="11">
        <v>1</v>
      </c>
      <c r="N10" s="631">
        <f>9.94175</f>
        <v>9.9417500000000008</v>
      </c>
      <c r="O10" s="236">
        <f t="shared" si="2"/>
        <v>209.12</v>
      </c>
      <c r="P10" s="11" t="s">
        <v>14</v>
      </c>
      <c r="Q10" s="234">
        <f t="shared" si="4"/>
        <v>45689</v>
      </c>
    </row>
    <row r="11" spans="1:28">
      <c r="A11" s="235" t="s">
        <v>77</v>
      </c>
      <c r="B11" s="11"/>
      <c r="C11" s="223" t="s">
        <v>59</v>
      </c>
      <c r="D11" s="227" t="s">
        <v>922</v>
      </c>
      <c r="E11" s="227">
        <v>2.5</v>
      </c>
      <c r="F11" s="11">
        <v>1.08</v>
      </c>
      <c r="G11" s="630">
        <v>520.21</v>
      </c>
      <c r="H11" s="12">
        <v>0.5</v>
      </c>
      <c r="I11" s="11">
        <v>0.5</v>
      </c>
      <c r="J11" s="630">
        <v>1147.0999999999999</v>
      </c>
      <c r="K11" s="630">
        <v>759.97</v>
      </c>
      <c r="L11" s="12">
        <f t="shared" si="3"/>
        <v>0.5</v>
      </c>
      <c r="M11" s="11">
        <v>1</v>
      </c>
      <c r="N11" s="631">
        <f>11.5414</f>
        <v>11.541399999999999</v>
      </c>
      <c r="O11" s="236">
        <f t="shared" si="2"/>
        <v>538.80999999999995</v>
      </c>
      <c r="P11" s="11" t="s">
        <v>14</v>
      </c>
      <c r="Q11" s="234">
        <f t="shared" si="4"/>
        <v>45689</v>
      </c>
    </row>
    <row r="12" spans="1:28">
      <c r="A12" s="235" t="s">
        <v>77</v>
      </c>
      <c r="B12" s="11"/>
      <c r="C12" s="223" t="s">
        <v>60</v>
      </c>
      <c r="D12" s="227" t="s">
        <v>61</v>
      </c>
      <c r="E12" s="227">
        <v>3</v>
      </c>
      <c r="F12" s="11">
        <v>1.06</v>
      </c>
      <c r="G12" s="630">
        <v>596.03</v>
      </c>
      <c r="H12" s="12">
        <v>0.5</v>
      </c>
      <c r="I12" s="11">
        <v>0.5</v>
      </c>
      <c r="J12" s="630">
        <v>1257.6199999999999</v>
      </c>
      <c r="K12" s="630">
        <v>909.83</v>
      </c>
      <c r="L12" s="12">
        <f t="shared" si="3"/>
        <v>0.5</v>
      </c>
      <c r="M12" s="11">
        <v>1</v>
      </c>
      <c r="N12" s="631">
        <v>13.544699999999999</v>
      </c>
      <c r="O12" s="236">
        <f t="shared" si="2"/>
        <v>609.38</v>
      </c>
      <c r="P12" s="11" t="s">
        <v>14</v>
      </c>
      <c r="Q12" s="234">
        <f t="shared" si="4"/>
        <v>45689</v>
      </c>
      <c r="Z12" s="134" t="s">
        <v>923</v>
      </c>
      <c r="AA12" s="134" t="s">
        <v>924</v>
      </c>
      <c r="AB12" t="s">
        <v>925</v>
      </c>
    </row>
    <row r="13" spans="1:28" ht="30">
      <c r="A13" s="235" t="s">
        <v>77</v>
      </c>
      <c r="B13" s="11"/>
      <c r="C13" s="223" t="s">
        <v>62</v>
      </c>
      <c r="D13" s="227" t="s">
        <v>926</v>
      </c>
      <c r="E13" s="227">
        <v>4</v>
      </c>
      <c r="F13" s="11">
        <v>1.06</v>
      </c>
      <c r="G13" s="630">
        <v>712.56</v>
      </c>
      <c r="H13" s="12">
        <v>0.5</v>
      </c>
      <c r="I13" s="11">
        <v>0.5</v>
      </c>
      <c r="J13" s="630">
        <v>1561.9</v>
      </c>
      <c r="K13" s="630">
        <v>1248.3399999999999</v>
      </c>
      <c r="L13" s="12">
        <f t="shared" si="3"/>
        <v>0.5</v>
      </c>
      <c r="M13" s="11">
        <v>1</v>
      </c>
      <c r="N13" s="631">
        <v>17.86525</v>
      </c>
      <c r="O13" s="236">
        <f t="shared" si="2"/>
        <v>758.01</v>
      </c>
      <c r="P13" s="11" t="s">
        <v>14</v>
      </c>
      <c r="Q13" s="234">
        <f t="shared" si="4"/>
        <v>45689</v>
      </c>
      <c r="T13" s="225" t="s">
        <v>927</v>
      </c>
      <c r="V13" s="226" t="s">
        <v>47</v>
      </c>
      <c r="W13" s="227">
        <v>18</v>
      </c>
      <c r="X13" s="632">
        <v>297.41000000000003</v>
      </c>
      <c r="Y13">
        <v>0.5</v>
      </c>
      <c r="Z13" s="228">
        <f>X13*Y13</f>
        <v>148.70500000000001</v>
      </c>
      <c r="AA13" s="229">
        <f t="shared" ref="AA13:AA25" si="5">Z13*2</f>
        <v>297.41000000000003</v>
      </c>
    </row>
    <row r="14" spans="1:28">
      <c r="A14" s="235" t="s">
        <v>77</v>
      </c>
      <c r="B14" s="237"/>
      <c r="C14" s="223" t="s">
        <v>63</v>
      </c>
      <c r="D14" s="238"/>
      <c r="E14" s="227"/>
      <c r="F14" s="11">
        <v>1.06</v>
      </c>
      <c r="G14" s="630">
        <v>1286.1500000000001</v>
      </c>
      <c r="H14" s="12">
        <v>0.5</v>
      </c>
      <c r="I14" s="11">
        <v>0.4</v>
      </c>
      <c r="J14" s="630">
        <v>4963.13</v>
      </c>
      <c r="K14" s="630">
        <v>3367.82</v>
      </c>
      <c r="L14" s="12">
        <f t="shared" si="3"/>
        <v>0.5</v>
      </c>
      <c r="M14" s="11">
        <v>1</v>
      </c>
      <c r="N14" s="631">
        <v>23.172499999999999</v>
      </c>
      <c r="O14" s="3">
        <f>(F14*(G14-G14*H14)+I14*((J14+K14)-(J14+K14)*L14)/2+M14*N14)*1.015</f>
        <v>1560.995905</v>
      </c>
      <c r="P14" s="11" t="s">
        <v>14</v>
      </c>
      <c r="Q14" s="234">
        <f t="shared" si="4"/>
        <v>45689</v>
      </c>
      <c r="V14" s="226" t="s">
        <v>49</v>
      </c>
      <c r="W14" s="227">
        <v>22</v>
      </c>
      <c r="X14" s="632">
        <v>348.1</v>
      </c>
      <c r="Y14">
        <v>0.5</v>
      </c>
      <c r="Z14" s="228">
        <f>X14*Y14</f>
        <v>174.05</v>
      </c>
      <c r="AA14" s="229">
        <f t="shared" si="5"/>
        <v>348.1</v>
      </c>
    </row>
    <row r="15" spans="1:28">
      <c r="A15" s="235" t="s">
        <v>77</v>
      </c>
      <c r="B15" s="237"/>
      <c r="C15" s="223" t="s">
        <v>66</v>
      </c>
      <c r="D15" s="238">
        <v>168</v>
      </c>
      <c r="E15" s="227"/>
      <c r="F15" s="11">
        <v>1.06</v>
      </c>
      <c r="G15" s="630">
        <v>1554.86</v>
      </c>
      <c r="H15" s="12">
        <v>0.5</v>
      </c>
      <c r="I15" s="11">
        <v>0.4</v>
      </c>
      <c r="J15" s="630">
        <v>6389.99</v>
      </c>
      <c r="K15" s="630">
        <v>4431.3599999999997</v>
      </c>
      <c r="L15" s="12">
        <f t="shared" si="3"/>
        <v>0.5</v>
      </c>
      <c r="M15" s="11">
        <v>1</v>
      </c>
      <c r="N15" s="631">
        <v>31.164999999999999</v>
      </c>
      <c r="O15" s="3">
        <f>(F15*(G15-G15*H15)+I15*((J15+K15)-(J15+K15)*L15)/2+M15*N15)*1.015</f>
        <v>1966.4364369999996</v>
      </c>
      <c r="P15" s="11" t="s">
        <v>14</v>
      </c>
      <c r="Q15" s="234">
        <f t="shared" si="4"/>
        <v>45689</v>
      </c>
      <c r="V15" s="226"/>
      <c r="W15" s="227"/>
      <c r="X15" s="632"/>
      <c r="Z15" s="228"/>
      <c r="AA15" s="229"/>
    </row>
    <row r="16" spans="1:28">
      <c r="V16" s="226"/>
      <c r="W16" s="227"/>
      <c r="X16" s="632"/>
      <c r="Z16" s="228"/>
      <c r="AA16" s="229"/>
    </row>
    <row r="17" spans="1:27">
      <c r="V17" s="226" t="s">
        <v>51</v>
      </c>
      <c r="W17" s="227">
        <v>28</v>
      </c>
      <c r="X17" s="632">
        <v>428.88</v>
      </c>
      <c r="Y17">
        <v>0.5</v>
      </c>
      <c r="Z17" s="228">
        <f t="shared" ref="Z17:Z25" si="6">X17*Y17</f>
        <v>214.44</v>
      </c>
      <c r="AA17" s="229">
        <f t="shared" si="5"/>
        <v>428.88</v>
      </c>
    </row>
    <row r="18" spans="1:27">
      <c r="A18" s="223"/>
      <c r="B18" s="223" t="s">
        <v>8</v>
      </c>
      <c r="C18" s="223"/>
      <c r="D18" s="223" t="s">
        <v>769</v>
      </c>
      <c r="E18" s="223" t="s">
        <v>769</v>
      </c>
      <c r="F18" s="223" t="s">
        <v>611</v>
      </c>
      <c r="G18" s="223" t="s">
        <v>919</v>
      </c>
      <c r="H18" s="223" t="s">
        <v>613</v>
      </c>
      <c r="I18" s="223" t="s">
        <v>611</v>
      </c>
      <c r="J18" s="223" t="s">
        <v>614</v>
      </c>
      <c r="K18" s="223" t="s">
        <v>615</v>
      </c>
      <c r="L18" s="223" t="s">
        <v>613</v>
      </c>
      <c r="M18" s="223" t="s">
        <v>611</v>
      </c>
      <c r="N18" s="223" t="s">
        <v>616</v>
      </c>
      <c r="O18" s="224" t="s">
        <v>617</v>
      </c>
      <c r="P18" s="223" t="s">
        <v>7</v>
      </c>
      <c r="Q18" s="223" t="s">
        <v>920</v>
      </c>
      <c r="V18" s="226" t="s">
        <v>53</v>
      </c>
      <c r="W18" s="227">
        <v>35</v>
      </c>
      <c r="X18" s="632">
        <v>615.15</v>
      </c>
      <c r="Y18">
        <v>0.5</v>
      </c>
      <c r="Z18" s="228">
        <f t="shared" si="6"/>
        <v>307.57499999999999</v>
      </c>
      <c r="AA18" s="229">
        <f t="shared" si="5"/>
        <v>615.15</v>
      </c>
    </row>
    <row r="19" spans="1:27">
      <c r="A19" s="230" t="s">
        <v>77</v>
      </c>
      <c r="B19" s="237" t="s">
        <v>86</v>
      </c>
      <c r="C19" s="231" t="s">
        <v>94</v>
      </c>
      <c r="D19" s="232" t="s">
        <v>79</v>
      </c>
      <c r="E19" s="232" t="s">
        <v>18</v>
      </c>
      <c r="F19" s="59">
        <v>1.08</v>
      </c>
      <c r="G19" s="684">
        <v>51.77</v>
      </c>
      <c r="H19" s="60">
        <v>0.5</v>
      </c>
      <c r="I19" s="59">
        <v>0.8</v>
      </c>
      <c r="J19" s="684">
        <v>85.46</v>
      </c>
      <c r="K19" s="684">
        <v>53.01</v>
      </c>
      <c r="L19" s="60">
        <v>0.5</v>
      </c>
      <c r="M19" s="59">
        <v>1</v>
      </c>
      <c r="N19" s="685">
        <v>2.9899999999999998</v>
      </c>
      <c r="O19" s="233">
        <f>ROUNDUP((F19*(G19-G19*H19)+I19*((J19+K19)-(J19+K19)*L19)/2+M19*N19)*1.015,2)+3*N19</f>
        <v>68.489999999999995</v>
      </c>
      <c r="P19" s="11" t="s">
        <v>14</v>
      </c>
      <c r="Q19" s="234">
        <v>45689</v>
      </c>
      <c r="V19" s="226" t="s">
        <v>55</v>
      </c>
      <c r="W19" s="227">
        <v>42</v>
      </c>
      <c r="X19" s="632">
        <v>718.07</v>
      </c>
      <c r="Y19">
        <v>0.5</v>
      </c>
      <c r="Z19" s="228">
        <f t="shared" si="6"/>
        <v>359.03500000000003</v>
      </c>
      <c r="AA19" s="229">
        <f t="shared" si="5"/>
        <v>718.07</v>
      </c>
    </row>
    <row r="20" spans="1:27">
      <c r="A20" s="235" t="s">
        <v>77</v>
      </c>
      <c r="B20" s="237" t="s">
        <v>86</v>
      </c>
      <c r="C20" s="223" t="s">
        <v>47</v>
      </c>
      <c r="D20" s="227" t="s">
        <v>80</v>
      </c>
      <c r="E20" s="227" t="s">
        <v>22</v>
      </c>
      <c r="F20" s="11">
        <v>1.08</v>
      </c>
      <c r="G20" s="630">
        <v>61.18</v>
      </c>
      <c r="H20" s="12">
        <v>0.5</v>
      </c>
      <c r="I20" s="11">
        <v>0.8</v>
      </c>
      <c r="J20" s="630">
        <v>87.8</v>
      </c>
      <c r="K20" s="630">
        <v>60.11</v>
      </c>
      <c r="L20" s="12">
        <f>L19</f>
        <v>0.5</v>
      </c>
      <c r="M20" s="11">
        <v>1</v>
      </c>
      <c r="N20" s="631">
        <v>2.9899999999999998</v>
      </c>
      <c r="O20" s="233">
        <f t="shared" ref="O20:O28" si="7">ROUNDUP((F20*(G20-G20*H20)+I20*((J20+K20)-(J20+K20)*L20)/2+M20*N20)*1.015,2)+3*N20</f>
        <v>75.570000000000007</v>
      </c>
      <c r="P20" s="11" t="s">
        <v>14</v>
      </c>
      <c r="Q20" s="234">
        <f>Q19</f>
        <v>45689</v>
      </c>
      <c r="V20" s="226" t="s">
        <v>57</v>
      </c>
      <c r="W20" s="227">
        <v>54</v>
      </c>
      <c r="X20" s="632">
        <v>885.46</v>
      </c>
      <c r="Y20">
        <v>0.5</v>
      </c>
      <c r="Z20" s="228">
        <f t="shared" si="6"/>
        <v>442.73</v>
      </c>
      <c r="AA20" s="229">
        <f t="shared" si="5"/>
        <v>885.46</v>
      </c>
    </row>
    <row r="21" spans="1:27">
      <c r="A21" s="235" t="s">
        <v>77</v>
      </c>
      <c r="B21" s="237" t="s">
        <v>86</v>
      </c>
      <c r="C21" s="223" t="s">
        <v>49</v>
      </c>
      <c r="D21" s="227" t="s">
        <v>81</v>
      </c>
      <c r="E21" s="227" t="s">
        <v>24</v>
      </c>
      <c r="F21" s="11">
        <v>1.08</v>
      </c>
      <c r="G21" s="630">
        <v>82.32</v>
      </c>
      <c r="H21" s="12">
        <v>0.5</v>
      </c>
      <c r="I21" s="11">
        <v>0.8</v>
      </c>
      <c r="J21" s="630">
        <v>92.57</v>
      </c>
      <c r="K21" s="630">
        <v>72.8</v>
      </c>
      <c r="L21" s="12">
        <f t="shared" ref="L21:L30" si="8">L20</f>
        <v>0.5</v>
      </c>
      <c r="M21" s="11">
        <v>1</v>
      </c>
      <c r="N21" s="631">
        <v>3.5879999999999996</v>
      </c>
      <c r="O21" s="233">
        <f t="shared" si="7"/>
        <v>93.103999999999999</v>
      </c>
      <c r="P21" s="11" t="s">
        <v>14</v>
      </c>
      <c r="Q21" s="234">
        <f t="shared" ref="Q21:Q28" si="9">Q20</f>
        <v>45689</v>
      </c>
      <c r="V21" s="226" t="s">
        <v>928</v>
      </c>
      <c r="W21" s="227">
        <v>76</v>
      </c>
      <c r="X21" s="138">
        <v>1384.34</v>
      </c>
      <c r="Y21">
        <v>0.5</v>
      </c>
      <c r="Z21" s="228">
        <f t="shared" si="6"/>
        <v>692.17</v>
      </c>
      <c r="AA21" s="229">
        <f t="shared" si="5"/>
        <v>1384.34</v>
      </c>
    </row>
    <row r="22" spans="1:27">
      <c r="A22" s="235" t="s">
        <v>77</v>
      </c>
      <c r="B22" s="237" t="s">
        <v>86</v>
      </c>
      <c r="C22" s="223" t="s">
        <v>51</v>
      </c>
      <c r="D22" s="227" t="s">
        <v>82</v>
      </c>
      <c r="E22" s="227">
        <v>1</v>
      </c>
      <c r="F22" s="11">
        <v>1.08</v>
      </c>
      <c r="G22" s="630">
        <v>101.92</v>
      </c>
      <c r="H22" s="12">
        <v>0.5</v>
      </c>
      <c r="I22" s="11">
        <v>0.7</v>
      </c>
      <c r="J22" s="630">
        <v>112.16</v>
      </c>
      <c r="K22" s="630">
        <v>91.68</v>
      </c>
      <c r="L22" s="12">
        <f t="shared" si="8"/>
        <v>0.5</v>
      </c>
      <c r="M22" s="11">
        <v>1</v>
      </c>
      <c r="N22" s="631">
        <v>4.8587500000000006</v>
      </c>
      <c r="O22" s="233">
        <f t="shared" si="7"/>
        <v>111.58625000000001</v>
      </c>
      <c r="P22" s="11" t="s">
        <v>14</v>
      </c>
      <c r="Q22" s="234">
        <f t="shared" si="9"/>
        <v>45689</v>
      </c>
      <c r="V22" s="226" t="s">
        <v>929</v>
      </c>
      <c r="W22" s="227" t="s">
        <v>930</v>
      </c>
      <c r="X22" s="138">
        <v>1618.74</v>
      </c>
      <c r="Y22">
        <v>0.5</v>
      </c>
      <c r="Z22" s="228">
        <f t="shared" si="6"/>
        <v>809.37</v>
      </c>
      <c r="AA22" s="229">
        <f t="shared" si="5"/>
        <v>1618.74</v>
      </c>
    </row>
    <row r="23" spans="1:27">
      <c r="A23" s="235" t="s">
        <v>77</v>
      </c>
      <c r="B23" s="237" t="s">
        <v>86</v>
      </c>
      <c r="C23" s="223" t="s">
        <v>53</v>
      </c>
      <c r="D23" s="227" t="s">
        <v>83</v>
      </c>
      <c r="E23" s="227">
        <v>1.25</v>
      </c>
      <c r="F23" s="11">
        <v>1.08</v>
      </c>
      <c r="G23" s="630">
        <v>150.78</v>
      </c>
      <c r="H23" s="12">
        <v>0.5</v>
      </c>
      <c r="I23" s="11">
        <v>0.7</v>
      </c>
      <c r="J23" s="630">
        <v>139.96</v>
      </c>
      <c r="K23" s="630">
        <v>122.49</v>
      </c>
      <c r="L23" s="12">
        <f t="shared" si="8"/>
        <v>0.5</v>
      </c>
      <c r="M23" s="11">
        <v>1</v>
      </c>
      <c r="N23" s="631">
        <v>6.0098999999999991</v>
      </c>
      <c r="O23" s="233">
        <f t="shared" si="7"/>
        <v>153.3997</v>
      </c>
      <c r="P23" s="11" t="s">
        <v>14</v>
      </c>
      <c r="Q23" s="234">
        <f t="shared" si="9"/>
        <v>45689</v>
      </c>
      <c r="V23" s="226" t="s">
        <v>931</v>
      </c>
      <c r="W23" s="227">
        <v>108</v>
      </c>
      <c r="X23" s="138">
        <v>1939.54</v>
      </c>
      <c r="Y23">
        <v>0.5</v>
      </c>
      <c r="Z23" s="228">
        <f t="shared" si="6"/>
        <v>969.77</v>
      </c>
      <c r="AA23" s="229">
        <f t="shared" si="5"/>
        <v>1939.54</v>
      </c>
    </row>
    <row r="24" spans="1:27">
      <c r="A24" s="235" t="s">
        <v>77</v>
      </c>
      <c r="B24" s="237" t="s">
        <v>86</v>
      </c>
      <c r="C24" s="223" t="s">
        <v>55</v>
      </c>
      <c r="D24" s="227" t="s">
        <v>84</v>
      </c>
      <c r="E24" s="227">
        <v>1.5</v>
      </c>
      <c r="F24" s="11">
        <v>1.08</v>
      </c>
      <c r="G24" s="630">
        <v>185.8</v>
      </c>
      <c r="H24" s="12">
        <v>0.5</v>
      </c>
      <c r="I24" s="11">
        <v>0.7</v>
      </c>
      <c r="J24" s="630">
        <v>202.53</v>
      </c>
      <c r="K24" s="630">
        <v>211.89</v>
      </c>
      <c r="L24" s="12">
        <f t="shared" si="8"/>
        <v>0.5</v>
      </c>
      <c r="M24" s="11">
        <v>1</v>
      </c>
      <c r="N24" s="631">
        <v>7.2806499999999996</v>
      </c>
      <c r="O24" s="233">
        <f t="shared" si="7"/>
        <v>204.68195</v>
      </c>
      <c r="P24" s="11" t="s">
        <v>14</v>
      </c>
      <c r="Q24" s="234">
        <f t="shared" si="9"/>
        <v>45689</v>
      </c>
      <c r="V24" s="226" t="s">
        <v>932</v>
      </c>
      <c r="W24" s="227" t="s">
        <v>933</v>
      </c>
      <c r="X24" s="138">
        <v>2759.31</v>
      </c>
      <c r="Y24">
        <v>0.5</v>
      </c>
      <c r="Z24" s="228">
        <f t="shared" si="6"/>
        <v>1379.655</v>
      </c>
      <c r="AA24" s="229">
        <f t="shared" si="5"/>
        <v>2759.31</v>
      </c>
    </row>
    <row r="25" spans="1:27">
      <c r="A25" s="235" t="s">
        <v>77</v>
      </c>
      <c r="B25" s="237" t="s">
        <v>86</v>
      </c>
      <c r="C25" s="223" t="s">
        <v>57</v>
      </c>
      <c r="D25" s="227" t="s">
        <v>56</v>
      </c>
      <c r="E25" s="227">
        <v>2</v>
      </c>
      <c r="F25" s="11">
        <v>1.08</v>
      </c>
      <c r="G25" s="630">
        <v>234.79</v>
      </c>
      <c r="H25" s="12">
        <v>0.5</v>
      </c>
      <c r="I25" s="11">
        <v>0.5</v>
      </c>
      <c r="J25" s="630">
        <v>234.95</v>
      </c>
      <c r="K25" s="630">
        <v>319.41000000000003</v>
      </c>
      <c r="L25" s="12">
        <f t="shared" si="8"/>
        <v>0.5</v>
      </c>
      <c r="M25" s="11">
        <v>1</v>
      </c>
      <c r="N25" s="631">
        <f>9.94175</f>
        <v>9.9417500000000008</v>
      </c>
      <c r="O25" s="233">
        <f t="shared" si="7"/>
        <v>238.94525000000002</v>
      </c>
      <c r="P25" s="11" t="s">
        <v>14</v>
      </c>
      <c r="Q25" s="234">
        <f t="shared" si="9"/>
        <v>45689</v>
      </c>
      <c r="V25" s="226" t="s">
        <v>934</v>
      </c>
      <c r="W25" s="227" t="s">
        <v>935</v>
      </c>
      <c r="X25" s="138">
        <v>3367.82</v>
      </c>
      <c r="Y25">
        <v>0.5</v>
      </c>
      <c r="Z25" s="228">
        <f t="shared" si="6"/>
        <v>1683.91</v>
      </c>
      <c r="AA25" s="229">
        <f t="shared" si="5"/>
        <v>3367.82</v>
      </c>
    </row>
    <row r="26" spans="1:27">
      <c r="A26" s="235" t="s">
        <v>77</v>
      </c>
      <c r="B26" s="237" t="s">
        <v>86</v>
      </c>
      <c r="C26" s="223" t="s">
        <v>59</v>
      </c>
      <c r="D26" s="227" t="s">
        <v>922</v>
      </c>
      <c r="E26" s="227">
        <v>2.5</v>
      </c>
      <c r="F26" s="11">
        <v>1.08</v>
      </c>
      <c r="G26" s="630">
        <v>520.21</v>
      </c>
      <c r="H26" s="12">
        <v>0.5</v>
      </c>
      <c r="I26" s="11">
        <v>0.5</v>
      </c>
      <c r="J26" s="630">
        <v>1147.0999999999999</v>
      </c>
      <c r="K26" s="630">
        <v>759.97</v>
      </c>
      <c r="L26" s="12">
        <f t="shared" si="8"/>
        <v>0.5</v>
      </c>
      <c r="M26" s="11">
        <v>1</v>
      </c>
      <c r="N26" s="631">
        <f>11.5414</f>
        <v>11.541399999999999</v>
      </c>
      <c r="O26" s="233">
        <f t="shared" si="7"/>
        <v>573.43419999999992</v>
      </c>
      <c r="P26" s="11" t="s">
        <v>14</v>
      </c>
      <c r="Q26" s="234">
        <f t="shared" si="9"/>
        <v>45689</v>
      </c>
    </row>
    <row r="27" spans="1:27">
      <c r="A27" s="235" t="s">
        <v>77</v>
      </c>
      <c r="B27" s="237" t="s">
        <v>86</v>
      </c>
      <c r="C27" s="223" t="s">
        <v>60</v>
      </c>
      <c r="D27" s="227" t="s">
        <v>61</v>
      </c>
      <c r="E27" s="227">
        <v>3</v>
      </c>
      <c r="F27" s="11">
        <v>1.06</v>
      </c>
      <c r="G27" s="630">
        <v>596.03</v>
      </c>
      <c r="H27" s="12">
        <v>0.5</v>
      </c>
      <c r="I27" s="11">
        <v>0.5</v>
      </c>
      <c r="J27" s="630">
        <v>1257.6199999999999</v>
      </c>
      <c r="K27" s="630">
        <v>909.83</v>
      </c>
      <c r="L27" s="12">
        <f t="shared" si="8"/>
        <v>0.5</v>
      </c>
      <c r="M27" s="11">
        <v>1</v>
      </c>
      <c r="N27" s="631">
        <v>13.544699999999999</v>
      </c>
      <c r="O27" s="233">
        <f t="shared" si="7"/>
        <v>650.01409999999998</v>
      </c>
      <c r="P27" s="11" t="s">
        <v>14</v>
      </c>
      <c r="Q27" s="234">
        <f t="shared" si="9"/>
        <v>45689</v>
      </c>
    </row>
    <row r="28" spans="1:27">
      <c r="A28" s="235" t="s">
        <v>77</v>
      </c>
      <c r="B28" s="237" t="s">
        <v>86</v>
      </c>
      <c r="C28" s="223" t="s">
        <v>62</v>
      </c>
      <c r="D28" s="227" t="s">
        <v>926</v>
      </c>
      <c r="E28" s="227">
        <v>4</v>
      </c>
      <c r="F28" s="11">
        <v>1.06</v>
      </c>
      <c r="G28" s="630">
        <v>712.56</v>
      </c>
      <c r="H28" s="12">
        <v>0.5</v>
      </c>
      <c r="I28" s="11">
        <v>0.5</v>
      </c>
      <c r="J28" s="630">
        <v>1561.9</v>
      </c>
      <c r="K28" s="630">
        <v>1248.3399999999999</v>
      </c>
      <c r="L28" s="12">
        <f t="shared" si="8"/>
        <v>0.5</v>
      </c>
      <c r="M28" s="11">
        <v>1</v>
      </c>
      <c r="N28" s="631">
        <v>17.86525</v>
      </c>
      <c r="O28" s="233">
        <f t="shared" si="7"/>
        <v>811.60574999999994</v>
      </c>
      <c r="P28" s="11" t="s">
        <v>14</v>
      </c>
      <c r="Q28" s="234">
        <f t="shared" si="9"/>
        <v>45689</v>
      </c>
    </row>
    <row r="29" spans="1:27">
      <c r="A29" s="235" t="s">
        <v>77</v>
      </c>
      <c r="B29" s="237" t="s">
        <v>86</v>
      </c>
      <c r="C29" s="223" t="s">
        <v>63</v>
      </c>
      <c r="D29" s="238">
        <v>133</v>
      </c>
      <c r="E29" s="227">
        <v>5</v>
      </c>
      <c r="F29" s="11">
        <v>1.06</v>
      </c>
      <c r="G29" s="630">
        <v>1286.1500000000001</v>
      </c>
      <c r="H29" s="12">
        <v>0.5</v>
      </c>
      <c r="I29" s="11">
        <v>0.4</v>
      </c>
      <c r="J29" s="630">
        <v>4963.13</v>
      </c>
      <c r="K29" s="630">
        <v>3367.82</v>
      </c>
      <c r="L29" s="12">
        <f t="shared" si="8"/>
        <v>0.5</v>
      </c>
      <c r="M29" s="11">
        <v>1</v>
      </c>
      <c r="N29" s="631">
        <v>23.172499999999999</v>
      </c>
      <c r="O29" s="3">
        <f>(F29*(G29-G29*H29)+I29*((J29+K29)-(J29+K29)*L29)/2+M29*N29)*1.015+3*N29</f>
        <v>1630.5134049999999</v>
      </c>
      <c r="P29" s="11" t="s">
        <v>14</v>
      </c>
      <c r="Q29" s="234">
        <f>Q28</f>
        <v>45689</v>
      </c>
    </row>
    <row r="30" spans="1:27">
      <c r="A30" s="235" t="s">
        <v>77</v>
      </c>
      <c r="B30" s="237" t="s">
        <v>86</v>
      </c>
      <c r="C30" s="223" t="s">
        <v>66</v>
      </c>
      <c r="D30" s="238">
        <v>168</v>
      </c>
      <c r="E30" s="227">
        <v>6</v>
      </c>
      <c r="F30" s="11">
        <v>1.06</v>
      </c>
      <c r="G30" s="630">
        <v>1554.86</v>
      </c>
      <c r="H30" s="12">
        <v>0.5</v>
      </c>
      <c r="I30" s="11">
        <v>0.4</v>
      </c>
      <c r="J30" s="630">
        <v>6389.99</v>
      </c>
      <c r="K30" s="630">
        <v>4431.3599999999997</v>
      </c>
      <c r="L30" s="12">
        <f t="shared" si="8"/>
        <v>0.5</v>
      </c>
      <c r="M30" s="11">
        <v>1</v>
      </c>
      <c r="N30" s="631">
        <v>31.164999999999999</v>
      </c>
      <c r="O30" s="3">
        <f>(F30*(G30-G30*H30)+I30*((J30+K30)-(J30+K30)*L30)/2+M30*N30)*1.015+3*N30</f>
        <v>2059.9314369999997</v>
      </c>
      <c r="P30" s="11" t="s">
        <v>14</v>
      </c>
      <c r="Q30" s="234">
        <f>Q29</f>
        <v>45689</v>
      </c>
    </row>
    <row r="32" spans="1:27">
      <c r="A32" s="28" t="s">
        <v>936</v>
      </c>
    </row>
    <row r="33" spans="1:17">
      <c r="A33" s="223"/>
      <c r="B33" s="223" t="s">
        <v>8</v>
      </c>
      <c r="C33" s="223"/>
      <c r="D33" s="223" t="s">
        <v>769</v>
      </c>
      <c r="E33" s="223" t="s">
        <v>769</v>
      </c>
      <c r="F33" s="223" t="s">
        <v>611</v>
      </c>
      <c r="G33" s="223" t="s">
        <v>919</v>
      </c>
      <c r="H33" s="223" t="s">
        <v>613</v>
      </c>
      <c r="I33" s="223" t="s">
        <v>611</v>
      </c>
      <c r="J33" s="223" t="s">
        <v>614</v>
      </c>
      <c r="K33" s="223" t="s">
        <v>615</v>
      </c>
      <c r="L33" s="223" t="s">
        <v>613</v>
      </c>
      <c r="M33" s="223" t="s">
        <v>611</v>
      </c>
      <c r="N33" s="223" t="s">
        <v>616</v>
      </c>
      <c r="O33" s="224" t="s">
        <v>617</v>
      </c>
      <c r="P33" s="223" t="s">
        <v>7</v>
      </c>
      <c r="Q33" s="223" t="s">
        <v>920</v>
      </c>
    </row>
    <row r="34" spans="1:17">
      <c r="A34" s="230" t="s">
        <v>77</v>
      </c>
      <c r="B34" s="237"/>
      <c r="C34" s="231" t="s">
        <v>78</v>
      </c>
      <c r="D34" s="232" t="s">
        <v>79</v>
      </c>
      <c r="E34" s="232" t="s">
        <v>18</v>
      </c>
      <c r="F34" s="59"/>
      <c r="G34" s="684"/>
      <c r="H34" s="60"/>
      <c r="I34" s="59"/>
      <c r="J34" s="684"/>
      <c r="K34" s="684"/>
      <c r="L34" s="60"/>
      <c r="M34" s="59"/>
      <c r="N34" s="685"/>
      <c r="O34" s="233"/>
      <c r="P34" s="11"/>
      <c r="Q34" s="234"/>
    </row>
    <row r="35" spans="1:17">
      <c r="A35" s="235" t="s">
        <v>77</v>
      </c>
      <c r="B35" s="237"/>
      <c r="C35" s="223" t="s">
        <v>47</v>
      </c>
      <c r="D35" s="227" t="s">
        <v>80</v>
      </c>
      <c r="E35" s="227" t="s">
        <v>22</v>
      </c>
      <c r="F35" s="11"/>
      <c r="G35" s="630"/>
      <c r="H35" s="12"/>
      <c r="I35" s="11"/>
      <c r="J35" s="630"/>
      <c r="K35" s="630"/>
      <c r="L35" s="12"/>
      <c r="M35" s="11"/>
      <c r="N35" s="631"/>
      <c r="O35" s="236"/>
      <c r="P35" s="11"/>
      <c r="Q35" s="234"/>
    </row>
    <row r="36" spans="1:17">
      <c r="A36" s="235" t="s">
        <v>77</v>
      </c>
      <c r="B36" s="237" t="s">
        <v>87</v>
      </c>
      <c r="C36" s="223" t="s">
        <v>49</v>
      </c>
      <c r="D36" s="227" t="s">
        <v>81</v>
      </c>
      <c r="E36" s="227" t="s">
        <v>24</v>
      </c>
      <c r="F36" s="11">
        <v>1.08</v>
      </c>
      <c r="G36" s="630">
        <v>82.32</v>
      </c>
      <c r="H36" s="12">
        <v>0.4</v>
      </c>
      <c r="I36" s="11">
        <v>0.8</v>
      </c>
      <c r="J36" s="11">
        <v>92.57</v>
      </c>
      <c r="K36" s="630">
        <v>72.8</v>
      </c>
      <c r="L36" s="12">
        <v>0.4</v>
      </c>
      <c r="M36" s="11">
        <v>1</v>
      </c>
      <c r="N36" s="631">
        <v>3.5879999999999996</v>
      </c>
      <c r="O36" s="239">
        <f t="shared" ref="O36:O43" si="10">(F36*(G36-G36*H36)+I36*((J36+K36)-(J36+K36)*L36)/2+M36*N36)*1.015</f>
        <v>98.069462399999992</v>
      </c>
      <c r="P36" s="11" t="s">
        <v>14</v>
      </c>
      <c r="Q36" s="234">
        <v>45689</v>
      </c>
    </row>
    <row r="37" spans="1:17">
      <c r="A37" s="235" t="s">
        <v>77</v>
      </c>
      <c r="B37" s="237" t="s">
        <v>87</v>
      </c>
      <c r="C37" s="223" t="s">
        <v>51</v>
      </c>
      <c r="D37" s="227" t="s">
        <v>82</v>
      </c>
      <c r="E37" s="227">
        <v>1</v>
      </c>
      <c r="F37" s="11">
        <v>1.08</v>
      </c>
      <c r="G37" s="630">
        <v>101.92</v>
      </c>
      <c r="H37" s="12">
        <v>0.4</v>
      </c>
      <c r="I37" s="11">
        <v>0.7</v>
      </c>
      <c r="J37" s="11">
        <v>112.16</v>
      </c>
      <c r="K37" s="630">
        <v>91.68</v>
      </c>
      <c r="L37" s="12">
        <f>L36</f>
        <v>0.4</v>
      </c>
      <c r="M37" s="11">
        <v>1</v>
      </c>
      <c r="N37" s="631">
        <v>4.8587500000000006</v>
      </c>
      <c r="O37" s="239">
        <f t="shared" si="10"/>
        <v>115.41494965</v>
      </c>
      <c r="P37" s="11" t="s">
        <v>14</v>
      </c>
      <c r="Q37" s="234">
        <f t="shared" ref="Q37:Q43" si="11">Q36</f>
        <v>45689</v>
      </c>
    </row>
    <row r="38" spans="1:17">
      <c r="A38" s="235" t="s">
        <v>77</v>
      </c>
      <c r="B38" s="237" t="s">
        <v>87</v>
      </c>
      <c r="C38" s="223" t="s">
        <v>53</v>
      </c>
      <c r="D38" s="227" t="s">
        <v>83</v>
      </c>
      <c r="E38" s="227">
        <v>1.25</v>
      </c>
      <c r="F38" s="11">
        <v>1.08</v>
      </c>
      <c r="G38" s="630">
        <v>150.78</v>
      </c>
      <c r="H38" s="12">
        <v>0.4</v>
      </c>
      <c r="I38" s="11">
        <v>0.7</v>
      </c>
      <c r="J38" s="11">
        <v>139.96</v>
      </c>
      <c r="K38" s="630">
        <v>122.49</v>
      </c>
      <c r="L38" s="12">
        <f t="shared" ref="L38:L43" si="12">L37</f>
        <v>0.4</v>
      </c>
      <c r="M38" s="11">
        <v>1</v>
      </c>
      <c r="N38" s="631">
        <v>6.0098999999999991</v>
      </c>
      <c r="O38" s="239">
        <f t="shared" si="10"/>
        <v>161.21228759999994</v>
      </c>
      <c r="P38" s="11" t="s">
        <v>14</v>
      </c>
      <c r="Q38" s="234">
        <f t="shared" si="11"/>
        <v>45689</v>
      </c>
    </row>
    <row r="39" spans="1:17">
      <c r="A39" s="235" t="s">
        <v>77</v>
      </c>
      <c r="B39" s="237" t="s">
        <v>87</v>
      </c>
      <c r="C39" s="223" t="s">
        <v>55</v>
      </c>
      <c r="D39" s="227" t="s">
        <v>84</v>
      </c>
      <c r="E39" s="227">
        <v>1.5</v>
      </c>
      <c r="F39" s="11">
        <v>1.08</v>
      </c>
      <c r="G39" s="630">
        <v>185.8</v>
      </c>
      <c r="H39" s="12">
        <v>0.4</v>
      </c>
      <c r="I39" s="11">
        <v>0.7</v>
      </c>
      <c r="J39" s="11">
        <v>202.53</v>
      </c>
      <c r="K39" s="630">
        <v>197.66</v>
      </c>
      <c r="L39" s="12">
        <f t="shared" si="12"/>
        <v>0.4</v>
      </c>
      <c r="M39" s="11">
        <v>1</v>
      </c>
      <c r="N39" s="631">
        <v>7.2806499999999996</v>
      </c>
      <c r="O39" s="239">
        <f t="shared" si="10"/>
        <v>214.89473425</v>
      </c>
      <c r="P39" s="11" t="s">
        <v>14</v>
      </c>
      <c r="Q39" s="234">
        <f t="shared" si="11"/>
        <v>45689</v>
      </c>
    </row>
    <row r="40" spans="1:17">
      <c r="A40" s="235" t="s">
        <v>77</v>
      </c>
      <c r="B40" s="237" t="s">
        <v>87</v>
      </c>
      <c r="C40" s="223" t="s">
        <v>57</v>
      </c>
      <c r="D40" s="227" t="s">
        <v>56</v>
      </c>
      <c r="E40" s="227">
        <v>2</v>
      </c>
      <c r="F40" s="11">
        <v>1.08</v>
      </c>
      <c r="G40" s="630">
        <v>234.79</v>
      </c>
      <c r="H40" s="12">
        <v>0.4</v>
      </c>
      <c r="I40" s="11">
        <v>0.5</v>
      </c>
      <c r="J40" s="11">
        <v>234.95</v>
      </c>
      <c r="K40" s="630">
        <v>304.45</v>
      </c>
      <c r="L40" s="12">
        <f t="shared" si="12"/>
        <v>0.4</v>
      </c>
      <c r="M40" s="11">
        <v>1</v>
      </c>
      <c r="N40" s="631">
        <f>9.94175</f>
        <v>9.9417500000000008</v>
      </c>
      <c r="O40" s="239">
        <f t="shared" si="10"/>
        <v>246.64060505</v>
      </c>
      <c r="P40" s="11" t="s">
        <v>14</v>
      </c>
      <c r="Q40" s="234">
        <f t="shared" si="11"/>
        <v>45689</v>
      </c>
    </row>
    <row r="41" spans="1:17">
      <c r="A41" s="235" t="s">
        <v>77</v>
      </c>
      <c r="B41" s="237" t="s">
        <v>87</v>
      </c>
      <c r="C41" s="223" t="s">
        <v>59</v>
      </c>
      <c r="D41" s="227" t="s">
        <v>922</v>
      </c>
      <c r="E41" s="227">
        <v>2.5</v>
      </c>
      <c r="F41" s="11">
        <v>1.08</v>
      </c>
      <c r="G41" s="630">
        <v>520.21</v>
      </c>
      <c r="H41" s="12">
        <v>0.4</v>
      </c>
      <c r="I41" s="11">
        <v>0.5</v>
      </c>
      <c r="J41" s="92">
        <v>1147.0999999999999</v>
      </c>
      <c r="K41" s="630">
        <v>759.97</v>
      </c>
      <c r="L41" s="12">
        <f t="shared" si="12"/>
        <v>0.4</v>
      </c>
      <c r="M41" s="11">
        <v>1</v>
      </c>
      <c r="N41" s="631">
        <f>11.5414</f>
        <v>11.541399999999999</v>
      </c>
      <c r="O41" s="239">
        <f t="shared" si="10"/>
        <v>644.21844969999984</v>
      </c>
      <c r="P41" s="11" t="s">
        <v>14</v>
      </c>
      <c r="Q41" s="234">
        <f t="shared" si="11"/>
        <v>45689</v>
      </c>
    </row>
    <row r="42" spans="1:17">
      <c r="A42" s="235" t="s">
        <v>77</v>
      </c>
      <c r="B42" s="237" t="s">
        <v>87</v>
      </c>
      <c r="C42" s="223" t="s">
        <v>60</v>
      </c>
      <c r="D42" s="227" t="s">
        <v>61</v>
      </c>
      <c r="E42" s="227">
        <v>3</v>
      </c>
      <c r="F42" s="11">
        <v>1.06</v>
      </c>
      <c r="G42" s="630">
        <v>596.03</v>
      </c>
      <c r="H42" s="12">
        <v>0.4</v>
      </c>
      <c r="I42" s="11">
        <v>0.5</v>
      </c>
      <c r="J42" s="92">
        <v>1257.6199999999999</v>
      </c>
      <c r="K42" s="630">
        <v>909.83</v>
      </c>
      <c r="L42" s="12">
        <f t="shared" si="12"/>
        <v>0.4</v>
      </c>
      <c r="M42" s="11">
        <v>1</v>
      </c>
      <c r="N42" s="631">
        <v>13.544699999999999</v>
      </c>
      <c r="O42" s="239">
        <f t="shared" si="10"/>
        <v>728.50333919999991</v>
      </c>
      <c r="P42" s="11" t="s">
        <v>14</v>
      </c>
      <c r="Q42" s="234">
        <f t="shared" si="11"/>
        <v>45689</v>
      </c>
    </row>
    <row r="43" spans="1:17">
      <c r="A43" s="235" t="s">
        <v>77</v>
      </c>
      <c r="B43" s="237" t="s">
        <v>87</v>
      </c>
      <c r="C43" s="223" t="s">
        <v>62</v>
      </c>
      <c r="D43" s="227" t="s">
        <v>926</v>
      </c>
      <c r="E43" s="227">
        <v>4</v>
      </c>
      <c r="F43" s="11">
        <v>1.06</v>
      </c>
      <c r="G43" s="630">
        <v>712.56</v>
      </c>
      <c r="H43" s="12">
        <v>0.4</v>
      </c>
      <c r="I43" s="11">
        <v>0.5</v>
      </c>
      <c r="J43" s="92">
        <v>1561.9</v>
      </c>
      <c r="K43" s="630">
        <v>1248.3399999999999</v>
      </c>
      <c r="L43" s="12">
        <f t="shared" si="12"/>
        <v>0.4</v>
      </c>
      <c r="M43" s="11">
        <v>1</v>
      </c>
      <c r="N43" s="631">
        <v>17.86525</v>
      </c>
      <c r="O43" s="239">
        <f t="shared" si="10"/>
        <v>905.97825114999989</v>
      </c>
      <c r="P43" s="11" t="s">
        <v>14</v>
      </c>
      <c r="Q43" s="234">
        <f t="shared" si="11"/>
        <v>45689</v>
      </c>
    </row>
    <row r="46" spans="1:17" ht="15.75" thickBot="1">
      <c r="D46" s="28" t="s">
        <v>937</v>
      </c>
      <c r="E46" s="28"/>
      <c r="F46" s="28"/>
      <c r="G46" s="28"/>
      <c r="O46" s="632"/>
    </row>
    <row r="47" spans="1:17">
      <c r="D47" s="240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686"/>
      <c r="P47" s="242"/>
      <c r="Q47" s="11"/>
    </row>
    <row r="48" spans="1:17">
      <c r="A48" s="223"/>
      <c r="B48" s="223" t="s">
        <v>8</v>
      </c>
      <c r="C48" s="223"/>
      <c r="D48" s="243" t="s">
        <v>769</v>
      </c>
      <c r="E48" s="243" t="s">
        <v>769</v>
      </c>
      <c r="F48" s="243" t="s">
        <v>611</v>
      </c>
      <c r="G48" s="243" t="s">
        <v>919</v>
      </c>
      <c r="H48" s="243" t="s">
        <v>613</v>
      </c>
      <c r="I48" s="243" t="s">
        <v>611</v>
      </c>
      <c r="J48" s="243" t="s">
        <v>614</v>
      </c>
      <c r="K48" s="243" t="s">
        <v>615</v>
      </c>
      <c r="L48" s="243" t="s">
        <v>613</v>
      </c>
      <c r="M48" s="243" t="s">
        <v>611</v>
      </c>
      <c r="N48" s="243" t="s">
        <v>616</v>
      </c>
      <c r="O48" s="244" t="s">
        <v>617</v>
      </c>
      <c r="P48" s="243" t="s">
        <v>7</v>
      </c>
      <c r="Q48" s="160" t="s">
        <v>920</v>
      </c>
    </row>
    <row r="49" spans="1:17">
      <c r="A49" s="230" t="s">
        <v>77</v>
      </c>
      <c r="B49" s="237" t="s">
        <v>938</v>
      </c>
      <c r="C49" s="231" t="s">
        <v>78</v>
      </c>
      <c r="D49" s="232" t="s">
        <v>79</v>
      </c>
      <c r="E49" s="232" t="s">
        <v>18</v>
      </c>
      <c r="F49" s="59">
        <v>1.08</v>
      </c>
      <c r="G49" s="59">
        <v>59.9</v>
      </c>
      <c r="H49" s="60">
        <v>0.45</v>
      </c>
      <c r="I49" s="59">
        <v>0.8</v>
      </c>
      <c r="J49" s="216">
        <v>76.900000000000006</v>
      </c>
      <c r="K49" s="216">
        <v>48.1</v>
      </c>
      <c r="L49" s="60">
        <v>0.45</v>
      </c>
      <c r="M49">
        <v>1</v>
      </c>
      <c r="N49" s="685">
        <v>2.6</v>
      </c>
      <c r="O49" s="233">
        <f>(F49*(G49-G49*H49)+I49*((J49+K49)-(J49+K49)*L49)/2+M49*N49)*1.015</f>
        <v>66.665808999999996</v>
      </c>
      <c r="P49" s="59" t="s">
        <v>88</v>
      </c>
      <c r="Q49" s="234">
        <v>45809</v>
      </c>
    </row>
    <row r="50" spans="1:17">
      <c r="A50" s="235" t="s">
        <v>77</v>
      </c>
      <c r="B50" s="237" t="s">
        <v>938</v>
      </c>
      <c r="C50" s="223" t="s">
        <v>47</v>
      </c>
      <c r="D50" s="227" t="s">
        <v>80</v>
      </c>
      <c r="E50" s="227" t="s">
        <v>22</v>
      </c>
      <c r="F50" s="11">
        <v>1.08</v>
      </c>
      <c r="G50" s="11">
        <v>71.7</v>
      </c>
      <c r="H50" s="12">
        <v>0.45</v>
      </c>
      <c r="I50" s="11">
        <v>0.8</v>
      </c>
      <c r="J50" s="215">
        <v>79.400000000000006</v>
      </c>
      <c r="K50" s="215">
        <v>57.5</v>
      </c>
      <c r="L50" s="12">
        <v>0.45</v>
      </c>
      <c r="M50" s="11">
        <v>1</v>
      </c>
      <c r="N50" s="631">
        <v>2.9899999999999998</v>
      </c>
      <c r="O50" s="236">
        <f>(F50*(G50-G50*H50)+I50*((J50+K50)-(J50+K50)*L50)/2+M50*N50)*1.015</f>
        <v>76.833266999999992</v>
      </c>
      <c r="P50" s="11" t="s">
        <v>88</v>
      </c>
      <c r="Q50" s="234">
        <f>Q49</f>
        <v>45809</v>
      </c>
    </row>
    <row r="51" spans="1:17">
      <c r="A51" s="235" t="s">
        <v>77</v>
      </c>
      <c r="B51" s="237" t="s">
        <v>938</v>
      </c>
      <c r="C51" s="223" t="s">
        <v>49</v>
      </c>
      <c r="D51" s="227" t="s">
        <v>81</v>
      </c>
      <c r="E51" s="227" t="s">
        <v>24</v>
      </c>
      <c r="F51" s="11">
        <v>1.08</v>
      </c>
      <c r="G51" s="11">
        <v>98.4</v>
      </c>
      <c r="H51" s="12">
        <v>0.45</v>
      </c>
      <c r="I51" s="11">
        <v>0.8</v>
      </c>
      <c r="J51" s="215">
        <v>84.2</v>
      </c>
      <c r="K51" s="215">
        <v>66.5</v>
      </c>
      <c r="L51" s="12">
        <v>0.45</v>
      </c>
      <c r="M51" s="11">
        <v>1</v>
      </c>
      <c r="N51" s="631">
        <v>3.5879999999999996</v>
      </c>
      <c r="O51" s="236">
        <f t="shared" ref="O51:O58" si="13">(F51*(G51-G51*H51)+I51*((J51+K51)-(J51+K51)*L51)/2+M51*N51)*1.015</f>
        <v>96.619473999999983</v>
      </c>
      <c r="P51" s="11" t="s">
        <v>88</v>
      </c>
      <c r="Q51" s="234">
        <f t="shared" ref="Q51:Q58" si="14">Q50</f>
        <v>45809</v>
      </c>
    </row>
    <row r="52" spans="1:17">
      <c r="A52" s="235" t="s">
        <v>77</v>
      </c>
      <c r="B52" s="237" t="s">
        <v>938</v>
      </c>
      <c r="C52" s="223" t="s">
        <v>51</v>
      </c>
      <c r="D52" s="227" t="s">
        <v>82</v>
      </c>
      <c r="E52" s="227">
        <v>1</v>
      </c>
      <c r="F52" s="11">
        <v>1.08</v>
      </c>
      <c r="G52" s="11">
        <v>119</v>
      </c>
      <c r="H52" s="12">
        <v>0.45</v>
      </c>
      <c r="I52" s="11">
        <v>0.8</v>
      </c>
      <c r="J52" s="215">
        <v>102</v>
      </c>
      <c r="K52" s="215">
        <v>83</v>
      </c>
      <c r="L52" s="12">
        <v>0.45</v>
      </c>
      <c r="M52" s="11">
        <v>1</v>
      </c>
      <c r="N52" s="631">
        <v>4.8587500000000006</v>
      </c>
      <c r="O52" s="236">
        <f t="shared" si="13"/>
        <v>117.98842124999999</v>
      </c>
      <c r="P52" s="11" t="s">
        <v>88</v>
      </c>
      <c r="Q52" s="234">
        <f t="shared" si="14"/>
        <v>45809</v>
      </c>
    </row>
    <row r="53" spans="1:17">
      <c r="A53" s="235" t="s">
        <v>77</v>
      </c>
      <c r="B53" s="237" t="s">
        <v>938</v>
      </c>
      <c r="C53" s="223" t="s">
        <v>53</v>
      </c>
      <c r="D53" s="227" t="s">
        <v>83</v>
      </c>
      <c r="E53" s="227">
        <v>1.25</v>
      </c>
      <c r="F53" s="11">
        <v>1.08</v>
      </c>
      <c r="G53" s="11">
        <v>176</v>
      </c>
      <c r="H53" s="12">
        <v>0.45</v>
      </c>
      <c r="I53" s="11">
        <v>0.7</v>
      </c>
      <c r="J53" s="215">
        <v>126</v>
      </c>
      <c r="K53" s="215">
        <v>111</v>
      </c>
      <c r="L53" s="12">
        <v>0.45</v>
      </c>
      <c r="M53" s="11">
        <v>1</v>
      </c>
      <c r="N53" s="631">
        <v>6.0098999999999991</v>
      </c>
      <c r="O53" s="236">
        <f t="shared" si="13"/>
        <v>158.51904599999995</v>
      </c>
      <c r="P53" s="11" t="s">
        <v>88</v>
      </c>
      <c r="Q53" s="234">
        <f t="shared" si="14"/>
        <v>45809</v>
      </c>
    </row>
    <row r="54" spans="1:17">
      <c r="A54" s="235" t="s">
        <v>77</v>
      </c>
      <c r="B54" s="237" t="s">
        <v>938</v>
      </c>
      <c r="C54" s="223" t="s">
        <v>55</v>
      </c>
      <c r="D54" s="227" t="s">
        <v>84</v>
      </c>
      <c r="E54" s="227">
        <v>1.5</v>
      </c>
      <c r="F54" s="11">
        <v>1.08</v>
      </c>
      <c r="G54" s="11">
        <v>220</v>
      </c>
      <c r="H54" s="12">
        <v>0.45</v>
      </c>
      <c r="I54" s="11">
        <v>0.7</v>
      </c>
      <c r="J54" s="215">
        <v>183</v>
      </c>
      <c r="K54" s="215">
        <v>175</v>
      </c>
      <c r="L54" s="12">
        <v>0.45</v>
      </c>
      <c r="M54" s="11">
        <v>1</v>
      </c>
      <c r="N54" s="631">
        <v>7.2806499999999996</v>
      </c>
      <c r="O54" s="236">
        <f t="shared" si="13"/>
        <v>209.97878474999999</v>
      </c>
      <c r="P54" s="11" t="s">
        <v>88</v>
      </c>
      <c r="Q54" s="234">
        <f t="shared" si="14"/>
        <v>45809</v>
      </c>
    </row>
    <row r="55" spans="1:17">
      <c r="A55" s="235" t="s">
        <v>77</v>
      </c>
      <c r="B55" s="237" t="s">
        <v>938</v>
      </c>
      <c r="C55" s="223" t="s">
        <v>57</v>
      </c>
      <c r="D55" s="227" t="s">
        <v>56</v>
      </c>
      <c r="E55" s="227">
        <v>2</v>
      </c>
      <c r="F55" s="11">
        <v>1.08</v>
      </c>
      <c r="G55" s="11">
        <v>279</v>
      </c>
      <c r="H55" s="12">
        <v>0.45</v>
      </c>
      <c r="I55" s="11">
        <v>0.7</v>
      </c>
      <c r="J55" s="215">
        <v>212</v>
      </c>
      <c r="K55" s="215">
        <v>235</v>
      </c>
      <c r="L55" s="12">
        <v>0.45</v>
      </c>
      <c r="M55" s="11">
        <v>1</v>
      </c>
      <c r="N55" s="631">
        <v>9.9417500000000008</v>
      </c>
      <c r="O55" s="236">
        <f t="shared" si="13"/>
        <v>265.64097874999999</v>
      </c>
      <c r="P55" s="11" t="s">
        <v>88</v>
      </c>
      <c r="Q55" s="234">
        <f t="shared" si="14"/>
        <v>45809</v>
      </c>
    </row>
    <row r="56" spans="1:17">
      <c r="A56" s="235" t="s">
        <v>77</v>
      </c>
      <c r="B56" s="237" t="s">
        <v>938</v>
      </c>
      <c r="C56" s="223" t="s">
        <v>59</v>
      </c>
      <c r="D56" s="227" t="s">
        <v>922</v>
      </c>
      <c r="E56" s="227">
        <v>2.5</v>
      </c>
      <c r="F56" s="11">
        <v>1.08</v>
      </c>
      <c r="G56" s="11">
        <v>511</v>
      </c>
      <c r="H56" s="12">
        <v>0.45</v>
      </c>
      <c r="I56" s="11">
        <v>0.5</v>
      </c>
      <c r="J56" s="215">
        <v>1133</v>
      </c>
      <c r="K56" s="215">
        <v>691</v>
      </c>
      <c r="L56" s="12">
        <v>0.45</v>
      </c>
      <c r="M56" s="11">
        <v>1</v>
      </c>
      <c r="N56" s="631">
        <v>11.541399999999999</v>
      </c>
      <c r="O56" s="236">
        <f t="shared" si="13"/>
        <v>574.36353099999985</v>
      </c>
      <c r="P56" s="11" t="s">
        <v>88</v>
      </c>
      <c r="Q56" s="234">
        <f t="shared" si="14"/>
        <v>45809</v>
      </c>
    </row>
    <row r="57" spans="1:17">
      <c r="A57" s="235" t="s">
        <v>77</v>
      </c>
      <c r="B57" s="237" t="s">
        <v>938</v>
      </c>
      <c r="C57" s="223" t="s">
        <v>60</v>
      </c>
      <c r="D57" s="227" t="s">
        <v>61</v>
      </c>
      <c r="E57" s="227">
        <v>3</v>
      </c>
      <c r="F57" s="11">
        <v>1.06</v>
      </c>
      <c r="G57" s="11">
        <v>585</v>
      </c>
      <c r="H57" s="12">
        <v>0.45</v>
      </c>
      <c r="I57" s="11">
        <v>0.5</v>
      </c>
      <c r="J57" s="215">
        <v>1037</v>
      </c>
      <c r="K57" s="215">
        <v>827</v>
      </c>
      <c r="L57" s="12">
        <v>0.45</v>
      </c>
      <c r="M57" s="11">
        <v>1</v>
      </c>
      <c r="N57" s="631">
        <v>13.544699999999999</v>
      </c>
      <c r="O57" s="236">
        <f t="shared" si="13"/>
        <v>620.06319550000001</v>
      </c>
      <c r="P57" s="11" t="s">
        <v>88</v>
      </c>
      <c r="Q57" s="234">
        <f t="shared" si="14"/>
        <v>45809</v>
      </c>
    </row>
    <row r="58" spans="1:17">
      <c r="A58" s="235" t="s">
        <v>77</v>
      </c>
      <c r="B58" s="237" t="s">
        <v>938</v>
      </c>
      <c r="C58" s="223" t="s">
        <v>62</v>
      </c>
      <c r="D58" s="227" t="s">
        <v>926</v>
      </c>
      <c r="E58" s="227">
        <v>4</v>
      </c>
      <c r="F58" s="11">
        <v>1.06</v>
      </c>
      <c r="G58" s="11">
        <v>700</v>
      </c>
      <c r="H58" s="12">
        <v>0.45</v>
      </c>
      <c r="I58" s="11">
        <v>0.5</v>
      </c>
      <c r="J58" s="215">
        <v>1406</v>
      </c>
      <c r="K58" s="215">
        <v>1134</v>
      </c>
      <c r="L58" s="12">
        <v>0.45</v>
      </c>
      <c r="M58" s="11">
        <v>1</v>
      </c>
      <c r="N58" s="631">
        <v>17.86525</v>
      </c>
      <c r="O58" s="236">
        <f t="shared" si="13"/>
        <v>786.84347874999992</v>
      </c>
      <c r="P58" s="11" t="s">
        <v>88</v>
      </c>
      <c r="Q58" s="234">
        <f t="shared" si="14"/>
        <v>45809</v>
      </c>
    </row>
    <row r="61" spans="1:17">
      <c r="D61" s="131" t="s">
        <v>939</v>
      </c>
      <c r="E61" s="169"/>
    </row>
    <row r="63" spans="1:17" ht="15.75" thickBot="1">
      <c r="D63" s="28" t="s">
        <v>940</v>
      </c>
      <c r="E63" s="28"/>
      <c r="F63" s="28"/>
      <c r="G63" s="28"/>
      <c r="O63" s="632"/>
    </row>
    <row r="64" spans="1:17">
      <c r="D64" s="240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633"/>
    </row>
    <row r="65" spans="1:17">
      <c r="A65" s="223"/>
      <c r="B65" s="223" t="s">
        <v>8</v>
      </c>
      <c r="C65" s="223"/>
      <c r="D65" s="243" t="s">
        <v>769</v>
      </c>
      <c r="E65" s="243" t="s">
        <v>769</v>
      </c>
      <c r="F65" t="s">
        <v>611</v>
      </c>
      <c r="G65" t="s">
        <v>919</v>
      </c>
      <c r="H65" t="s">
        <v>613</v>
      </c>
      <c r="I65" t="s">
        <v>611</v>
      </c>
      <c r="J65" t="s">
        <v>614</v>
      </c>
      <c r="K65" t="s">
        <v>615</v>
      </c>
      <c r="L65" t="s">
        <v>613</v>
      </c>
      <c r="M65" t="s">
        <v>611</v>
      </c>
      <c r="N65" t="s">
        <v>616</v>
      </c>
      <c r="O65" s="634" t="s">
        <v>617</v>
      </c>
    </row>
    <row r="66" spans="1:17">
      <c r="A66" s="230" t="s">
        <v>77</v>
      </c>
      <c r="B66" s="237" t="s">
        <v>941</v>
      </c>
      <c r="C66" s="231" t="s">
        <v>78</v>
      </c>
      <c r="D66" s="232" t="s">
        <v>79</v>
      </c>
      <c r="E66" s="232" t="s">
        <v>18</v>
      </c>
      <c r="F66" s="11">
        <v>1.08</v>
      </c>
      <c r="G66" s="11">
        <v>49.07</v>
      </c>
      <c r="H66" s="12">
        <v>0.4</v>
      </c>
      <c r="I66" s="11">
        <v>0.8</v>
      </c>
      <c r="J66" s="11">
        <v>84.17</v>
      </c>
      <c r="K66" s="11">
        <v>50.46</v>
      </c>
      <c r="L66" s="12">
        <v>0.4</v>
      </c>
      <c r="M66" s="11">
        <v>1</v>
      </c>
      <c r="N66" s="631">
        <v>2.9899999999999998</v>
      </c>
      <c r="O66" s="3">
        <f>(F66*(G66-G66*H66)+I66*((J66+K66)-(J66+K66)*L66)/2+M66*N66)*1.015</f>
        <v>68.105038399999984</v>
      </c>
      <c r="P66" t="s">
        <v>92</v>
      </c>
      <c r="Q66" s="216" t="s">
        <v>942</v>
      </c>
    </row>
    <row r="67" spans="1:17">
      <c r="A67" s="235" t="s">
        <v>77</v>
      </c>
      <c r="B67" s="237" t="s">
        <v>941</v>
      </c>
      <c r="C67" s="223" t="s">
        <v>47</v>
      </c>
      <c r="D67" s="227" t="s">
        <v>80</v>
      </c>
      <c r="E67" s="227" t="s">
        <v>22</v>
      </c>
      <c r="F67" s="11">
        <v>1.08</v>
      </c>
      <c r="G67" s="11">
        <v>58.82</v>
      </c>
      <c r="H67" s="12">
        <v>0.4</v>
      </c>
      <c r="I67" s="11">
        <v>0.8</v>
      </c>
      <c r="J67" s="11">
        <v>95.7</v>
      </c>
      <c r="K67" s="11">
        <v>57.72</v>
      </c>
      <c r="L67" s="12">
        <v>0.4</v>
      </c>
      <c r="M67" s="11">
        <v>1</v>
      </c>
      <c r="N67" s="631">
        <v>2.9899999999999998</v>
      </c>
      <c r="O67" s="3">
        <f>(F67*(G67-G67*H67)+I67*((J67+K67)-(J67+K67)*L67)/2+M67*N67)*1.015</f>
        <v>79.095052399999986</v>
      </c>
      <c r="P67" t="s">
        <v>92</v>
      </c>
      <c r="Q67" s="216" t="s">
        <v>942</v>
      </c>
    </row>
    <row r="68" spans="1:17">
      <c r="A68" s="235" t="s">
        <v>77</v>
      </c>
      <c r="B68" s="237" t="s">
        <v>941</v>
      </c>
      <c r="C68" s="223" t="s">
        <v>49</v>
      </c>
      <c r="D68" s="227" t="s">
        <v>81</v>
      </c>
      <c r="E68" s="227" t="s">
        <v>24</v>
      </c>
      <c r="F68" s="11">
        <v>1.08</v>
      </c>
      <c r="G68" s="11">
        <v>79.53</v>
      </c>
      <c r="H68" s="12">
        <v>0.4</v>
      </c>
      <c r="I68" s="11">
        <v>0.8</v>
      </c>
      <c r="J68" s="11">
        <v>103.18</v>
      </c>
      <c r="K68" s="11">
        <v>69.73</v>
      </c>
      <c r="L68" s="12">
        <v>0.4</v>
      </c>
      <c r="M68" s="11">
        <v>1</v>
      </c>
      <c r="N68" s="631">
        <v>3.5879999999999996</v>
      </c>
      <c r="O68" s="3">
        <f t="shared" ref="O68:O75" si="15">(F68*(G68-G68*H68)+I68*((J68+K68)-(J68+K68)*L68)/2+M68*N68)*1.015</f>
        <v>98.071167599999995</v>
      </c>
      <c r="P68" t="s">
        <v>92</v>
      </c>
      <c r="Q68" s="216" t="s">
        <v>942</v>
      </c>
    </row>
    <row r="69" spans="1:17">
      <c r="A69" s="235" t="s">
        <v>77</v>
      </c>
      <c r="B69" s="237" t="s">
        <v>941</v>
      </c>
      <c r="C69" s="223" t="s">
        <v>51</v>
      </c>
      <c r="D69" s="227" t="s">
        <v>82</v>
      </c>
      <c r="E69" s="227">
        <v>1</v>
      </c>
      <c r="F69" s="11">
        <v>1.08</v>
      </c>
      <c r="G69" s="11">
        <v>99.26</v>
      </c>
      <c r="H69" s="12">
        <v>0.4</v>
      </c>
      <c r="I69" s="11">
        <v>0.8</v>
      </c>
      <c r="J69" s="11">
        <v>120.63</v>
      </c>
      <c r="K69" s="11">
        <v>87.28</v>
      </c>
      <c r="L69" s="12">
        <v>0.4</v>
      </c>
      <c r="M69" s="11">
        <v>1</v>
      </c>
      <c r="N69" s="631">
        <v>4.8587500000000006</v>
      </c>
      <c r="O69" s="3">
        <f t="shared" si="15"/>
        <v>120.86379445</v>
      </c>
      <c r="P69" t="s">
        <v>92</v>
      </c>
      <c r="Q69" s="216" t="s">
        <v>942</v>
      </c>
    </row>
    <row r="70" spans="1:17">
      <c r="A70" s="235" t="s">
        <v>77</v>
      </c>
      <c r="B70" s="237" t="s">
        <v>941</v>
      </c>
      <c r="C70" s="223" t="s">
        <v>53</v>
      </c>
      <c r="D70" s="227" t="s">
        <v>83</v>
      </c>
      <c r="E70" s="227">
        <v>1.25</v>
      </c>
      <c r="F70" s="11">
        <v>1.08</v>
      </c>
      <c r="G70" s="11">
        <v>145.11000000000001</v>
      </c>
      <c r="H70" s="12">
        <v>0.4</v>
      </c>
      <c r="I70" s="11">
        <v>0.7</v>
      </c>
      <c r="J70" s="11">
        <v>152.34</v>
      </c>
      <c r="K70" s="11">
        <v>139.78</v>
      </c>
      <c r="L70" s="12">
        <v>0.4</v>
      </c>
      <c r="M70" s="11">
        <v>1</v>
      </c>
      <c r="N70" s="631">
        <v>6.0098999999999991</v>
      </c>
      <c r="O70" s="3">
        <f t="shared" si="15"/>
        <v>163.80717569999999</v>
      </c>
      <c r="P70" t="s">
        <v>92</v>
      </c>
      <c r="Q70" s="216" t="s">
        <v>942</v>
      </c>
    </row>
    <row r="71" spans="1:17">
      <c r="A71" s="235" t="s">
        <v>77</v>
      </c>
      <c r="B71" s="237" t="s">
        <v>941</v>
      </c>
      <c r="C71" s="223" t="s">
        <v>55</v>
      </c>
      <c r="D71" s="227" t="s">
        <v>84</v>
      </c>
      <c r="E71" s="227">
        <v>1.5</v>
      </c>
      <c r="F71" s="11">
        <v>1.08</v>
      </c>
      <c r="G71" s="11">
        <v>178.87</v>
      </c>
      <c r="H71" s="12">
        <v>0.4</v>
      </c>
      <c r="I71" s="11">
        <v>0.7</v>
      </c>
      <c r="J71" s="11">
        <v>217.12</v>
      </c>
      <c r="K71" s="11">
        <v>226.16</v>
      </c>
      <c r="L71" s="12">
        <v>0.4</v>
      </c>
      <c r="M71" s="11">
        <v>1</v>
      </c>
      <c r="N71" s="631">
        <v>7.2806499999999996</v>
      </c>
      <c r="O71" s="3">
        <f t="shared" si="15"/>
        <v>219.52136814999997</v>
      </c>
      <c r="P71" t="s">
        <v>92</v>
      </c>
      <c r="Q71" s="216" t="s">
        <v>942</v>
      </c>
    </row>
    <row r="72" spans="1:17">
      <c r="A72" s="235" t="s">
        <v>77</v>
      </c>
      <c r="B72" s="237" t="s">
        <v>941</v>
      </c>
      <c r="C72" s="223" t="s">
        <v>57</v>
      </c>
      <c r="D72" s="227" t="s">
        <v>56</v>
      </c>
      <c r="E72" s="227">
        <v>2</v>
      </c>
      <c r="F72" s="11">
        <v>1.08</v>
      </c>
      <c r="G72" s="11">
        <v>230.42</v>
      </c>
      <c r="H72" s="12">
        <v>0.4</v>
      </c>
      <c r="I72" s="11">
        <v>0.7</v>
      </c>
      <c r="J72" s="11">
        <v>259.12</v>
      </c>
      <c r="K72" s="11">
        <v>325.39999999999998</v>
      </c>
      <c r="L72" s="12">
        <v>0.4</v>
      </c>
      <c r="M72" s="11">
        <v>1</v>
      </c>
      <c r="N72" s="631">
        <v>9.9417500000000008</v>
      </c>
      <c r="O72" s="3">
        <f t="shared" si="15"/>
        <v>286.23315664999996</v>
      </c>
      <c r="P72" t="s">
        <v>92</v>
      </c>
      <c r="Q72" s="216" t="s">
        <v>942</v>
      </c>
    </row>
    <row r="73" spans="1:17">
      <c r="A73" s="235" t="s">
        <v>77</v>
      </c>
      <c r="B73" s="237" t="s">
        <v>941</v>
      </c>
      <c r="C73" s="223" t="s">
        <v>59</v>
      </c>
      <c r="D73" s="227" t="s">
        <v>922</v>
      </c>
      <c r="E73" s="227">
        <v>2.5</v>
      </c>
      <c r="F73" s="11">
        <v>1.08</v>
      </c>
      <c r="G73" s="11">
        <v>469.82</v>
      </c>
      <c r="H73" s="12">
        <v>0.4</v>
      </c>
      <c r="I73" s="11">
        <v>0.5</v>
      </c>
      <c r="J73" s="11">
        <v>1440.32</v>
      </c>
      <c r="K73" s="11">
        <v>799.9</v>
      </c>
      <c r="L73" s="12">
        <v>0.4</v>
      </c>
      <c r="M73" s="11">
        <v>1</v>
      </c>
      <c r="N73" s="631">
        <v>11.541399999999999</v>
      </c>
      <c r="O73" s="3">
        <f t="shared" si="15"/>
        <v>661.79802639999991</v>
      </c>
      <c r="P73" t="s">
        <v>92</v>
      </c>
      <c r="Q73" s="216" t="s">
        <v>942</v>
      </c>
    </row>
    <row r="74" spans="1:17">
      <c r="A74" s="235" t="s">
        <v>77</v>
      </c>
      <c r="B74" s="237" t="s">
        <v>941</v>
      </c>
      <c r="C74" s="223" t="s">
        <v>60</v>
      </c>
      <c r="D74" s="227" t="s">
        <v>61</v>
      </c>
      <c r="E74" s="227">
        <v>3</v>
      </c>
      <c r="F74" s="11">
        <v>1.06</v>
      </c>
      <c r="G74" s="11">
        <v>536.84</v>
      </c>
      <c r="H74" s="12">
        <v>0.4</v>
      </c>
      <c r="I74" s="11">
        <v>0.5</v>
      </c>
      <c r="J74" s="11">
        <v>1575.68</v>
      </c>
      <c r="K74" s="11">
        <v>972.48</v>
      </c>
      <c r="L74" s="12">
        <v>0.4</v>
      </c>
      <c r="M74" s="11">
        <v>1</v>
      </c>
      <c r="N74" s="631">
        <v>13.544699999999999</v>
      </c>
      <c r="O74" s="3">
        <f t="shared" si="15"/>
        <v>748.25692409999999</v>
      </c>
      <c r="P74" t="s">
        <v>92</v>
      </c>
      <c r="Q74" s="216" t="s">
        <v>942</v>
      </c>
    </row>
    <row r="75" spans="1:17">
      <c r="A75" s="235" t="s">
        <v>77</v>
      </c>
      <c r="B75" s="237" t="s">
        <v>941</v>
      </c>
      <c r="C75" s="223" t="s">
        <v>62</v>
      </c>
      <c r="D75" s="227" t="s">
        <v>926</v>
      </c>
      <c r="E75" s="227">
        <v>4</v>
      </c>
      <c r="F75" s="11">
        <v>1.06</v>
      </c>
      <c r="G75" s="11">
        <v>647.47</v>
      </c>
      <c r="H75" s="12">
        <v>0.4</v>
      </c>
      <c r="I75" s="11">
        <v>0.5</v>
      </c>
      <c r="J75" s="11">
        <v>1358.84</v>
      </c>
      <c r="K75" s="11">
        <v>1065</v>
      </c>
      <c r="L75" s="12">
        <v>0.4</v>
      </c>
      <c r="M75" s="11">
        <v>1</v>
      </c>
      <c r="N75" s="631">
        <v>17.86525</v>
      </c>
      <c r="O75" s="3">
        <f t="shared" si="15"/>
        <v>805.13065254999992</v>
      </c>
      <c r="P75" t="s">
        <v>92</v>
      </c>
      <c r="Q75" s="216" t="s">
        <v>942</v>
      </c>
    </row>
    <row r="76" spans="1:17">
      <c r="D76" s="226"/>
      <c r="E76" s="227"/>
      <c r="F76" s="11"/>
      <c r="G76" s="11"/>
      <c r="H76" s="12"/>
      <c r="I76" s="11"/>
      <c r="J76" s="11"/>
      <c r="K76" s="11"/>
      <c r="L76" s="12"/>
      <c r="M76" s="11"/>
      <c r="N76" s="11"/>
      <c r="O76" s="3"/>
    </row>
    <row r="80" spans="1:17" ht="32.25" customHeight="1" thickBot="1">
      <c r="D80" s="904" t="s">
        <v>943</v>
      </c>
      <c r="E80" s="904"/>
      <c r="F80" s="904"/>
      <c r="G80" s="904"/>
      <c r="H80" s="904"/>
      <c r="I80" s="245" t="s">
        <v>944</v>
      </c>
      <c r="J80" s="246">
        <v>2025</v>
      </c>
      <c r="K80" t="s">
        <v>945</v>
      </c>
      <c r="O80" s="632"/>
    </row>
    <row r="81" spans="1:17">
      <c r="D81" s="240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633"/>
    </row>
    <row r="82" spans="1:17" ht="30">
      <c r="A82" s="223"/>
      <c r="B82" s="223" t="s">
        <v>8</v>
      </c>
      <c r="C82" s="223"/>
      <c r="D82" s="243" t="s">
        <v>769</v>
      </c>
      <c r="E82" s="243" t="s">
        <v>769</v>
      </c>
      <c r="F82" t="s">
        <v>611</v>
      </c>
      <c r="G82" t="s">
        <v>919</v>
      </c>
      <c r="H82" t="s">
        <v>613</v>
      </c>
      <c r="I82" t="s">
        <v>611</v>
      </c>
      <c r="J82" t="s">
        <v>614</v>
      </c>
      <c r="K82" t="s">
        <v>615</v>
      </c>
      <c r="L82" t="s">
        <v>613</v>
      </c>
      <c r="M82" t="s">
        <v>611</v>
      </c>
      <c r="N82" s="225" t="s">
        <v>946</v>
      </c>
      <c r="O82" s="634" t="s">
        <v>617</v>
      </c>
    </row>
    <row r="83" spans="1:17">
      <c r="A83" s="230" t="s">
        <v>77</v>
      </c>
      <c r="B83" s="237" t="s">
        <v>947</v>
      </c>
      <c r="C83" s="231" t="s">
        <v>78</v>
      </c>
      <c r="D83" s="232" t="s">
        <v>79</v>
      </c>
      <c r="E83" s="232" t="s">
        <v>18</v>
      </c>
      <c r="F83" s="11">
        <v>1.08</v>
      </c>
      <c r="G83" s="11">
        <v>44.3</v>
      </c>
      <c r="H83" s="12">
        <v>0.35</v>
      </c>
      <c r="I83" s="11">
        <v>0.8</v>
      </c>
      <c r="J83" s="11">
        <v>59.99</v>
      </c>
      <c r="K83" s="11">
        <v>36.910000000000004</v>
      </c>
      <c r="L83" s="12">
        <v>0.35</v>
      </c>
      <c r="M83" s="11">
        <v>1</v>
      </c>
      <c r="N83" s="631">
        <v>2.9899999999999998</v>
      </c>
      <c r="O83" s="3">
        <f>(F83*(G83-G83*H83)+I83*((J83+K83)-(J83+K83)*L83)/2+M83*N83)*1.015</f>
        <v>60.171839000000006</v>
      </c>
      <c r="P83" t="s">
        <v>89</v>
      </c>
      <c r="Q83" s="247">
        <v>45809</v>
      </c>
    </row>
    <row r="84" spans="1:17">
      <c r="A84" s="235" t="s">
        <v>77</v>
      </c>
      <c r="B84" s="237" t="s">
        <v>947</v>
      </c>
      <c r="C84" s="223" t="s">
        <v>47</v>
      </c>
      <c r="D84" s="227" t="s">
        <v>80</v>
      </c>
      <c r="E84" s="227" t="s">
        <v>22</v>
      </c>
      <c r="F84" s="11">
        <v>1.08</v>
      </c>
      <c r="G84" s="11">
        <v>44.3</v>
      </c>
      <c r="H84" s="12">
        <v>0.35</v>
      </c>
      <c r="I84" s="11">
        <v>0.8</v>
      </c>
      <c r="J84" s="11">
        <v>60.81</v>
      </c>
      <c r="K84" s="11">
        <v>47.19</v>
      </c>
      <c r="L84" s="12">
        <v>0.35</v>
      </c>
      <c r="M84" s="11">
        <v>1</v>
      </c>
      <c r="N84" s="631">
        <v>2.9899999999999998</v>
      </c>
      <c r="O84" s="3">
        <v>63.101129</v>
      </c>
      <c r="P84" t="s">
        <v>89</v>
      </c>
      <c r="Q84" s="247">
        <f>Q83</f>
        <v>45809</v>
      </c>
    </row>
    <row r="85" spans="1:17">
      <c r="A85" s="235" t="s">
        <v>77</v>
      </c>
      <c r="B85" s="237" t="s">
        <v>947</v>
      </c>
      <c r="C85" s="223" t="s">
        <v>49</v>
      </c>
      <c r="D85" s="227" t="s">
        <v>81</v>
      </c>
      <c r="E85" s="227" t="s">
        <v>24</v>
      </c>
      <c r="F85" s="11">
        <v>1.08</v>
      </c>
      <c r="G85" s="11">
        <v>52.01</v>
      </c>
      <c r="H85" s="12">
        <v>0.35</v>
      </c>
      <c r="I85" s="11">
        <v>0.8</v>
      </c>
      <c r="J85" s="11">
        <v>65.680000000000007</v>
      </c>
      <c r="K85" s="11">
        <v>55.02</v>
      </c>
      <c r="L85" s="12">
        <v>0.35</v>
      </c>
      <c r="M85" s="11">
        <v>1</v>
      </c>
      <c r="N85" s="631">
        <v>3.5879999999999996</v>
      </c>
      <c r="O85" s="3">
        <v>72.553235299999997</v>
      </c>
      <c r="P85" t="s">
        <v>89</v>
      </c>
      <c r="Q85" s="247">
        <f t="shared" ref="Q85:Q94" si="16">Q84</f>
        <v>45809</v>
      </c>
    </row>
    <row r="86" spans="1:17">
      <c r="A86" s="235" t="s">
        <v>77</v>
      </c>
      <c r="B86" s="237" t="s">
        <v>947</v>
      </c>
      <c r="C86" s="223" t="s">
        <v>51</v>
      </c>
      <c r="D86" s="227" t="s">
        <v>82</v>
      </c>
      <c r="E86" s="227">
        <v>1</v>
      </c>
      <c r="F86" s="11">
        <v>1.08</v>
      </c>
      <c r="G86" s="11">
        <v>87.58</v>
      </c>
      <c r="H86" s="12">
        <v>0.35</v>
      </c>
      <c r="I86" s="11">
        <v>0.8</v>
      </c>
      <c r="J86" s="11">
        <v>76.87</v>
      </c>
      <c r="K86" s="11">
        <v>64.16</v>
      </c>
      <c r="L86" s="12">
        <v>0.35</v>
      </c>
      <c r="M86" s="11">
        <v>1</v>
      </c>
      <c r="N86" s="631">
        <v>4.8587500000000006</v>
      </c>
      <c r="O86" s="3">
        <v>104.55282564999999</v>
      </c>
      <c r="P86" t="s">
        <v>89</v>
      </c>
      <c r="Q86" s="247">
        <f t="shared" si="16"/>
        <v>45809</v>
      </c>
    </row>
    <row r="87" spans="1:17">
      <c r="A87" s="235" t="s">
        <v>77</v>
      </c>
      <c r="B87" s="237" t="s">
        <v>947</v>
      </c>
      <c r="C87" s="223" t="s">
        <v>53</v>
      </c>
      <c r="D87" s="227" t="s">
        <v>83</v>
      </c>
      <c r="E87" s="227">
        <v>1.25</v>
      </c>
      <c r="F87" s="11">
        <v>1.08</v>
      </c>
      <c r="G87" s="11">
        <v>129.63999999999999</v>
      </c>
      <c r="H87" s="12">
        <v>0.35</v>
      </c>
      <c r="I87" s="11">
        <v>0.7</v>
      </c>
      <c r="J87" s="11">
        <v>99.47</v>
      </c>
      <c r="K87" s="11">
        <v>63.07</v>
      </c>
      <c r="L87" s="12">
        <v>0.35</v>
      </c>
      <c r="M87" s="11">
        <v>1</v>
      </c>
      <c r="N87" s="631">
        <v>6.0098999999999991</v>
      </c>
      <c r="O87" s="3">
        <v>136.00495544999998</v>
      </c>
      <c r="P87" t="s">
        <v>89</v>
      </c>
      <c r="Q87" s="247">
        <f t="shared" si="16"/>
        <v>45809</v>
      </c>
    </row>
    <row r="88" spans="1:17">
      <c r="A88" s="235" t="s">
        <v>77</v>
      </c>
      <c r="B88" s="237" t="s">
        <v>947</v>
      </c>
      <c r="C88" s="223" t="s">
        <v>55</v>
      </c>
      <c r="D88" s="227" t="s">
        <v>84</v>
      </c>
      <c r="E88" s="227">
        <v>1.5</v>
      </c>
      <c r="F88" s="11">
        <v>1.08</v>
      </c>
      <c r="G88" s="11">
        <v>151.92000000000002</v>
      </c>
      <c r="H88" s="12">
        <v>0.35</v>
      </c>
      <c r="I88" s="11">
        <v>0.7</v>
      </c>
      <c r="J88" s="11">
        <v>141.62</v>
      </c>
      <c r="K88" s="11">
        <v>93.24</v>
      </c>
      <c r="L88" s="12">
        <v>0.35</v>
      </c>
      <c r="M88" s="11">
        <v>1</v>
      </c>
      <c r="N88" s="631">
        <v>7.2806499999999996</v>
      </c>
      <c r="O88" s="3">
        <v>169.86952710000003</v>
      </c>
      <c r="P88" t="s">
        <v>89</v>
      </c>
      <c r="Q88" s="247">
        <f t="shared" si="16"/>
        <v>45809</v>
      </c>
    </row>
    <row r="89" spans="1:17">
      <c r="A89" s="235" t="s">
        <v>77</v>
      </c>
      <c r="B89" s="237" t="s">
        <v>947</v>
      </c>
      <c r="C89" s="223" t="s">
        <v>57</v>
      </c>
      <c r="D89" s="227" t="s">
        <v>56</v>
      </c>
      <c r="E89" s="227">
        <v>2</v>
      </c>
      <c r="F89" s="11">
        <v>1.08</v>
      </c>
      <c r="G89" s="11">
        <v>201.71</v>
      </c>
      <c r="H89" s="12">
        <v>0.35</v>
      </c>
      <c r="I89" s="11">
        <v>0.7</v>
      </c>
      <c r="J89" s="11">
        <v>162.67000000000002</v>
      </c>
      <c r="K89" s="11">
        <v>121.03</v>
      </c>
      <c r="L89" s="12">
        <v>0.35</v>
      </c>
      <c r="M89" s="11">
        <v>1</v>
      </c>
      <c r="N89" s="631">
        <v>9.9417500000000008</v>
      </c>
      <c r="O89" s="3">
        <v>219.3251788</v>
      </c>
      <c r="P89" t="s">
        <v>89</v>
      </c>
      <c r="Q89" s="247">
        <f t="shared" si="16"/>
        <v>45809</v>
      </c>
    </row>
    <row r="90" spans="1:17">
      <c r="A90" s="235" t="s">
        <v>77</v>
      </c>
      <c r="B90" s="237" t="s">
        <v>947</v>
      </c>
      <c r="C90" s="223" t="s">
        <v>59</v>
      </c>
      <c r="D90" s="227" t="s">
        <v>922</v>
      </c>
      <c r="E90" s="227">
        <v>2.5</v>
      </c>
      <c r="F90" s="11">
        <v>1.08</v>
      </c>
      <c r="G90" s="11">
        <v>406.12</v>
      </c>
      <c r="H90" s="12">
        <f>H88</f>
        <v>0.35</v>
      </c>
      <c r="I90" s="11">
        <v>0.5</v>
      </c>
      <c r="J90" s="11">
        <v>700.11</v>
      </c>
      <c r="K90" s="11">
        <v>371.02</v>
      </c>
      <c r="L90" s="12">
        <f>L88</f>
        <v>0.35</v>
      </c>
      <c r="M90" s="11">
        <v>1</v>
      </c>
      <c r="N90" s="631">
        <v>11.541399999999999</v>
      </c>
      <c r="O90" s="3">
        <f>(F90*(G90-G90*H90)+I90*((J90+K90)-(J90+K90)*L90)/2+M90*N90)*1.015</f>
        <v>477.75670897499998</v>
      </c>
      <c r="P90" t="s">
        <v>89</v>
      </c>
      <c r="Q90" s="247">
        <f t="shared" si="16"/>
        <v>45809</v>
      </c>
    </row>
    <row r="91" spans="1:17">
      <c r="A91" s="235" t="s">
        <v>77</v>
      </c>
      <c r="B91" s="237" t="s">
        <v>947</v>
      </c>
      <c r="C91" s="223" t="s">
        <v>60</v>
      </c>
      <c r="D91" s="227" t="s">
        <v>61</v>
      </c>
      <c r="E91" s="227">
        <v>3</v>
      </c>
      <c r="F91" s="11">
        <v>1.06</v>
      </c>
      <c r="G91" s="11">
        <v>465.18</v>
      </c>
      <c r="H91" s="12">
        <f>H90</f>
        <v>0.35</v>
      </c>
      <c r="I91" s="11">
        <v>0.5</v>
      </c>
      <c r="J91" s="11">
        <v>765.78</v>
      </c>
      <c r="K91" s="11">
        <v>442.69</v>
      </c>
      <c r="L91" s="12">
        <f>L90</f>
        <v>0.35</v>
      </c>
      <c r="M91" s="11">
        <v>1</v>
      </c>
      <c r="N91" s="631">
        <v>13.544699999999999</v>
      </c>
      <c r="O91" s="3">
        <f>(F91*(G91-G91*H91)+I91*((J91+K91)-(J91+K91)*L91)/2+M91*N91)*1.015</f>
        <v>538.38654642500001</v>
      </c>
      <c r="P91" t="s">
        <v>89</v>
      </c>
      <c r="Q91" s="247">
        <f t="shared" si="16"/>
        <v>45809</v>
      </c>
    </row>
    <row r="92" spans="1:17">
      <c r="A92" s="235" t="s">
        <v>77</v>
      </c>
      <c r="B92" s="237" t="s">
        <v>947</v>
      </c>
      <c r="C92" s="223" t="s">
        <v>62</v>
      </c>
      <c r="D92" s="227" t="s">
        <v>926</v>
      </c>
      <c r="E92" s="227">
        <v>4</v>
      </c>
      <c r="F92" s="11">
        <v>1.06</v>
      </c>
      <c r="G92" s="11">
        <v>556.28</v>
      </c>
      <c r="H92" s="12">
        <f>H91</f>
        <v>0.35</v>
      </c>
      <c r="I92" s="11">
        <v>0.5</v>
      </c>
      <c r="J92" s="11">
        <v>945.24</v>
      </c>
      <c r="K92" s="11">
        <v>604.31000000000006</v>
      </c>
      <c r="L92" s="12">
        <f>L91</f>
        <v>0.35</v>
      </c>
      <c r="M92" s="11">
        <v>1</v>
      </c>
      <c r="N92" s="631">
        <v>17.86525</v>
      </c>
      <c r="O92" s="3">
        <f>(F92*(G92-G92*H92)+I92*((J92+K92)-(J92+K92)*L92)/2+M92*N92)*1.015</f>
        <v>662.73820567500002</v>
      </c>
      <c r="P92" t="s">
        <v>89</v>
      </c>
      <c r="Q92" s="247">
        <f t="shared" si="16"/>
        <v>45809</v>
      </c>
    </row>
    <row r="93" spans="1:17">
      <c r="A93" s="235" t="s">
        <v>77</v>
      </c>
      <c r="B93" s="237" t="s">
        <v>947</v>
      </c>
      <c r="C93" s="223" t="s">
        <v>63</v>
      </c>
      <c r="D93" s="238">
        <v>133</v>
      </c>
      <c r="E93" s="227">
        <v>5</v>
      </c>
      <c r="F93" s="11">
        <v>1.06</v>
      </c>
      <c r="G93" s="11">
        <v>680.76</v>
      </c>
      <c r="H93" s="12">
        <f>H92</f>
        <v>0.35</v>
      </c>
      <c r="I93" s="11">
        <v>0.4</v>
      </c>
      <c r="J93" s="11">
        <v>3278.47</v>
      </c>
      <c r="K93" s="11">
        <v>2224.91</v>
      </c>
      <c r="L93" s="12">
        <f>L92</f>
        <v>0.35</v>
      </c>
      <c r="M93" s="11">
        <v>1</v>
      </c>
      <c r="N93" s="11">
        <v>23.172499999999999</v>
      </c>
      <c r="O93" s="3">
        <f>(F93*(G93-G93*H93)+I93*((J93+K93)-(J93+K93)*L93)/2+M93*N93)*1.015</f>
        <v>1225.7703730999999</v>
      </c>
      <c r="P93" t="s">
        <v>89</v>
      </c>
      <c r="Q93" s="247">
        <f t="shared" si="16"/>
        <v>45809</v>
      </c>
    </row>
    <row r="94" spans="1:17" ht="15.75" thickBot="1">
      <c r="A94" s="235" t="s">
        <v>77</v>
      </c>
      <c r="B94" s="237" t="s">
        <v>947</v>
      </c>
      <c r="C94" s="223" t="s">
        <v>66</v>
      </c>
      <c r="D94" s="238">
        <v>168</v>
      </c>
      <c r="E94" s="227">
        <v>6</v>
      </c>
      <c r="F94" s="11">
        <v>1.06</v>
      </c>
      <c r="G94" s="14">
        <v>1286.8800000000001</v>
      </c>
      <c r="H94" s="15">
        <f>H93</f>
        <v>0.35</v>
      </c>
      <c r="I94" s="14">
        <v>0.4</v>
      </c>
      <c r="J94" s="14">
        <v>4100.3999999999996</v>
      </c>
      <c r="K94" s="14">
        <v>2929.19</v>
      </c>
      <c r="L94" s="15">
        <f>L93</f>
        <v>0.35</v>
      </c>
      <c r="M94" s="14">
        <v>1</v>
      </c>
      <c r="N94" s="14">
        <v>31.164999999999999</v>
      </c>
      <c r="O94" s="16">
        <f>(F94*(G94-G94*H94)+I94*((J94+K94)-(J94+K94)*L94)/2+M94*N94)*1.015</f>
        <v>1859.1471002999999</v>
      </c>
      <c r="P94" t="s">
        <v>89</v>
      </c>
      <c r="Q94" s="247">
        <f t="shared" si="16"/>
        <v>45809</v>
      </c>
    </row>
    <row r="97" spans="1:17" ht="47.25" customHeight="1" thickBot="1">
      <c r="D97" s="904" t="s">
        <v>948</v>
      </c>
      <c r="E97" s="904"/>
      <c r="F97" s="904"/>
      <c r="G97" s="904"/>
      <c r="H97" s="904"/>
      <c r="I97" s="245" t="s">
        <v>944</v>
      </c>
      <c r="J97" s="246">
        <v>2025</v>
      </c>
      <c r="K97" t="s">
        <v>949</v>
      </c>
      <c r="O97" s="632"/>
    </row>
    <row r="98" spans="1:17">
      <c r="D98" s="240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633"/>
    </row>
    <row r="99" spans="1:17" ht="30">
      <c r="A99" s="223"/>
      <c r="B99" s="223" t="s">
        <v>8</v>
      </c>
      <c r="C99" s="223"/>
      <c r="D99" s="243" t="s">
        <v>769</v>
      </c>
      <c r="E99" s="243" t="s">
        <v>769</v>
      </c>
      <c r="F99" t="s">
        <v>611</v>
      </c>
      <c r="G99" t="s">
        <v>919</v>
      </c>
      <c r="H99" t="s">
        <v>613</v>
      </c>
      <c r="I99" t="s">
        <v>611</v>
      </c>
      <c r="J99" t="s">
        <v>614</v>
      </c>
      <c r="K99" t="s">
        <v>615</v>
      </c>
      <c r="L99" t="s">
        <v>613</v>
      </c>
      <c r="M99" t="s">
        <v>611</v>
      </c>
      <c r="N99" s="225" t="s">
        <v>946</v>
      </c>
      <c r="O99" s="634" t="s">
        <v>617</v>
      </c>
    </row>
    <row r="100" spans="1:17">
      <c r="A100" s="230" t="s">
        <v>77</v>
      </c>
      <c r="B100" s="237" t="s">
        <v>950</v>
      </c>
      <c r="C100" s="231" t="s">
        <v>78</v>
      </c>
      <c r="D100" s="232" t="s">
        <v>79</v>
      </c>
      <c r="E100" s="232" t="s">
        <v>18</v>
      </c>
      <c r="F100" s="11">
        <v>1.08</v>
      </c>
      <c r="G100" s="11">
        <v>22.67</v>
      </c>
      <c r="H100" s="12">
        <v>0.35</v>
      </c>
      <c r="I100" s="11">
        <v>0.8</v>
      </c>
      <c r="J100" s="11">
        <v>43.75</v>
      </c>
      <c r="K100" s="11">
        <v>36.11</v>
      </c>
      <c r="L100" s="12">
        <v>0.35</v>
      </c>
      <c r="M100" s="11">
        <v>1</v>
      </c>
      <c r="N100" s="631">
        <v>2.9899999999999998</v>
      </c>
      <c r="O100" s="3">
        <f>(F100*(G100-G100*H100)+I100*((J100+K100)-(J100+K100)*L100)/2+M100*N100)*1.015</f>
        <v>40.262959100000003</v>
      </c>
      <c r="P100" t="s">
        <v>89</v>
      </c>
      <c r="Q100" s="248">
        <f>Q94</f>
        <v>45809</v>
      </c>
    </row>
    <row r="101" spans="1:17">
      <c r="A101" s="235" t="s">
        <v>77</v>
      </c>
      <c r="B101" s="237" t="s">
        <v>950</v>
      </c>
      <c r="C101" s="223" t="s">
        <v>47</v>
      </c>
      <c r="D101" s="227" t="s">
        <v>80</v>
      </c>
      <c r="E101" s="227" t="s">
        <v>22</v>
      </c>
      <c r="F101" s="11">
        <v>1.08</v>
      </c>
      <c r="G101" s="11">
        <v>25.6</v>
      </c>
      <c r="H101" s="12">
        <v>0.35</v>
      </c>
      <c r="I101" s="11">
        <v>0.8</v>
      </c>
      <c r="J101" s="11">
        <v>49.660000000000004</v>
      </c>
      <c r="K101" s="11">
        <v>38.53</v>
      </c>
      <c r="L101" s="12">
        <v>0.35</v>
      </c>
      <c r="M101" s="11">
        <v>1</v>
      </c>
      <c r="N101" s="631">
        <v>2.9899999999999998</v>
      </c>
      <c r="O101" s="3">
        <v>63.101129</v>
      </c>
      <c r="P101" t="s">
        <v>89</v>
      </c>
      <c r="Q101" s="248">
        <f>Q100</f>
        <v>45809</v>
      </c>
    </row>
    <row r="102" spans="1:17">
      <c r="A102" s="235" t="s">
        <v>77</v>
      </c>
      <c r="B102" s="237" t="s">
        <v>950</v>
      </c>
      <c r="C102" s="223" t="s">
        <v>49</v>
      </c>
      <c r="D102" s="227" t="s">
        <v>81</v>
      </c>
      <c r="E102" s="227" t="s">
        <v>24</v>
      </c>
      <c r="F102" s="11">
        <v>1.08</v>
      </c>
      <c r="G102" s="11">
        <v>36.340000000000003</v>
      </c>
      <c r="H102" s="12">
        <v>0.35</v>
      </c>
      <c r="I102" s="11">
        <v>0.8</v>
      </c>
      <c r="J102" s="11">
        <v>53.64</v>
      </c>
      <c r="K102" s="11">
        <v>44.95</v>
      </c>
      <c r="L102" s="12">
        <v>0.35</v>
      </c>
      <c r="M102" s="11">
        <v>1</v>
      </c>
      <c r="N102" s="631">
        <v>3.5879999999999996</v>
      </c>
      <c r="O102" s="3">
        <v>72.553235299999997</v>
      </c>
      <c r="P102" t="s">
        <v>89</v>
      </c>
      <c r="Q102" s="248">
        <f t="shared" ref="Q102:Q111" si="17">Q101</f>
        <v>45809</v>
      </c>
    </row>
    <row r="103" spans="1:17">
      <c r="A103" s="235" t="s">
        <v>77</v>
      </c>
      <c r="B103" s="237" t="s">
        <v>950</v>
      </c>
      <c r="C103" s="223" t="s">
        <v>51</v>
      </c>
      <c r="D103" s="227" t="s">
        <v>82</v>
      </c>
      <c r="E103" s="227">
        <v>1</v>
      </c>
      <c r="F103" s="11">
        <v>1.08</v>
      </c>
      <c r="G103" s="11">
        <v>50.69</v>
      </c>
      <c r="H103" s="12">
        <v>0.35</v>
      </c>
      <c r="I103" s="11">
        <v>0.8</v>
      </c>
      <c r="J103" s="11">
        <v>62.78</v>
      </c>
      <c r="K103" s="11">
        <v>52.39</v>
      </c>
      <c r="L103" s="12">
        <v>0.35</v>
      </c>
      <c r="M103" s="11">
        <v>1</v>
      </c>
      <c r="N103" s="631">
        <v>4.8587500000000006</v>
      </c>
      <c r="O103" s="3">
        <v>104.55282564999999</v>
      </c>
      <c r="P103" t="s">
        <v>89</v>
      </c>
      <c r="Q103" s="248">
        <f t="shared" si="17"/>
        <v>45809</v>
      </c>
    </row>
    <row r="104" spans="1:17">
      <c r="A104" s="235" t="s">
        <v>77</v>
      </c>
      <c r="B104" s="237" t="s">
        <v>950</v>
      </c>
      <c r="C104" s="223" t="s">
        <v>53</v>
      </c>
      <c r="D104" s="227" t="s">
        <v>83</v>
      </c>
      <c r="E104" s="227">
        <v>1.25</v>
      </c>
      <c r="F104" s="11">
        <v>1.08</v>
      </c>
      <c r="G104" s="11">
        <v>61.65</v>
      </c>
      <c r="H104" s="12">
        <v>0.35</v>
      </c>
      <c r="I104" s="11">
        <v>0.7</v>
      </c>
      <c r="J104" s="11">
        <v>81.25</v>
      </c>
      <c r="K104" s="11">
        <v>51.51</v>
      </c>
      <c r="L104" s="12">
        <v>0.35</v>
      </c>
      <c r="M104" s="11">
        <v>1</v>
      </c>
      <c r="N104" s="631">
        <v>6.0098999999999991</v>
      </c>
      <c r="O104" s="3">
        <v>136.00495544999998</v>
      </c>
      <c r="P104" t="s">
        <v>89</v>
      </c>
      <c r="Q104" s="248">
        <f t="shared" si="17"/>
        <v>45809</v>
      </c>
    </row>
    <row r="105" spans="1:17">
      <c r="A105" s="235" t="s">
        <v>77</v>
      </c>
      <c r="B105" s="237" t="s">
        <v>950</v>
      </c>
      <c r="C105" s="223" t="s">
        <v>55</v>
      </c>
      <c r="D105" s="227" t="s">
        <v>84</v>
      </c>
      <c r="E105" s="227">
        <v>1.5</v>
      </c>
      <c r="F105" s="11">
        <v>1.08</v>
      </c>
      <c r="G105" s="11">
        <v>79.67</v>
      </c>
      <c r="H105" s="12">
        <v>0.35</v>
      </c>
      <c r="I105" s="11">
        <v>0.7</v>
      </c>
      <c r="J105" s="11">
        <v>115.66</v>
      </c>
      <c r="K105" s="11">
        <v>76.16</v>
      </c>
      <c r="L105" s="12">
        <v>0.35</v>
      </c>
      <c r="M105" s="11">
        <v>1</v>
      </c>
      <c r="N105" s="631">
        <v>7.2806499999999996</v>
      </c>
      <c r="O105" s="3">
        <v>169.86952710000003</v>
      </c>
      <c r="P105" t="s">
        <v>89</v>
      </c>
      <c r="Q105" s="248">
        <f t="shared" si="17"/>
        <v>45809</v>
      </c>
    </row>
    <row r="106" spans="1:17">
      <c r="A106" s="235" t="s">
        <v>77</v>
      </c>
      <c r="B106" s="237" t="s">
        <v>950</v>
      </c>
      <c r="C106" s="223" t="s">
        <v>57</v>
      </c>
      <c r="D106" s="227" t="s">
        <v>56</v>
      </c>
      <c r="E106" s="227">
        <v>2</v>
      </c>
      <c r="F106" s="11">
        <v>1.08</v>
      </c>
      <c r="G106" s="11">
        <v>103.10000000000001</v>
      </c>
      <c r="H106" s="12">
        <v>0.35</v>
      </c>
      <c r="I106" s="11">
        <v>0.7</v>
      </c>
      <c r="J106" s="11">
        <v>132.86000000000001</v>
      </c>
      <c r="K106" s="11">
        <v>98.87</v>
      </c>
      <c r="L106" s="12">
        <v>0.35</v>
      </c>
      <c r="M106" s="11">
        <v>1</v>
      </c>
      <c r="N106" s="631">
        <v>9.9417500000000008</v>
      </c>
      <c r="O106" s="3">
        <v>219.3251788</v>
      </c>
      <c r="P106" t="s">
        <v>89</v>
      </c>
      <c r="Q106" s="248">
        <f t="shared" si="17"/>
        <v>45809</v>
      </c>
    </row>
    <row r="107" spans="1:17">
      <c r="A107" s="235" t="s">
        <v>77</v>
      </c>
      <c r="B107" s="237" t="s">
        <v>950</v>
      </c>
      <c r="C107" s="223" t="s">
        <v>59</v>
      </c>
      <c r="D107" s="227" t="s">
        <v>922</v>
      </c>
      <c r="E107" s="227">
        <v>2.5</v>
      </c>
      <c r="F107" s="11">
        <v>1.08</v>
      </c>
      <c r="G107" s="11">
        <v>219.88</v>
      </c>
      <c r="H107" s="12">
        <f>H105</f>
        <v>0.35</v>
      </c>
      <c r="I107" s="11">
        <v>0.5</v>
      </c>
      <c r="J107" s="11">
        <v>571.9</v>
      </c>
      <c r="K107" s="11">
        <v>303.05</v>
      </c>
      <c r="L107" s="12">
        <f>L105</f>
        <v>0.35</v>
      </c>
      <c r="M107" s="11">
        <v>1</v>
      </c>
      <c r="N107" s="631">
        <v>11.541399999999999</v>
      </c>
      <c r="O107" s="3">
        <f>(F107*(G107-G107*H107)+I107*((J107+K107)-(J107+K107)*L107)/2+M107*N107)*1.015</f>
        <v>312.69768302499995</v>
      </c>
      <c r="P107" t="s">
        <v>89</v>
      </c>
      <c r="Q107" s="248">
        <f t="shared" si="17"/>
        <v>45809</v>
      </c>
    </row>
    <row r="108" spans="1:17">
      <c r="A108" s="235" t="s">
        <v>77</v>
      </c>
      <c r="B108" s="237" t="s">
        <v>950</v>
      </c>
      <c r="C108" s="223" t="s">
        <v>60</v>
      </c>
      <c r="D108" s="227" t="s">
        <v>61</v>
      </c>
      <c r="E108" s="227">
        <v>3</v>
      </c>
      <c r="F108" s="11">
        <v>1.06</v>
      </c>
      <c r="G108" s="11">
        <v>280.94</v>
      </c>
      <c r="H108" s="12">
        <f>H107</f>
        <v>0.35</v>
      </c>
      <c r="I108" s="11">
        <v>0.5</v>
      </c>
      <c r="J108" s="11">
        <v>625.56000000000006</v>
      </c>
      <c r="K108" s="11">
        <v>361.63</v>
      </c>
      <c r="L108" s="12">
        <f>L107</f>
        <v>0.35</v>
      </c>
      <c r="M108" s="11">
        <v>1</v>
      </c>
      <c r="N108" s="631">
        <v>13.544699999999999</v>
      </c>
      <c r="O108" s="3">
        <f>(F108*(G108-G108*H108)+I108*((J108+K108)-(J108+K108)*L108)/2+M108*N108)*1.015</f>
        <v>373.04369602499997</v>
      </c>
      <c r="P108" t="s">
        <v>89</v>
      </c>
      <c r="Q108" s="248">
        <f t="shared" si="17"/>
        <v>45809</v>
      </c>
    </row>
    <row r="109" spans="1:17">
      <c r="A109" s="235" t="s">
        <v>77</v>
      </c>
      <c r="B109" s="237" t="s">
        <v>950</v>
      </c>
      <c r="C109" s="223" t="s">
        <v>62</v>
      </c>
      <c r="D109" s="227" t="s">
        <v>926</v>
      </c>
      <c r="E109" s="227">
        <v>4</v>
      </c>
      <c r="F109" s="11">
        <v>1.06</v>
      </c>
      <c r="G109" s="11">
        <v>327.38</v>
      </c>
      <c r="H109" s="12">
        <f>H108</f>
        <v>0.35</v>
      </c>
      <c r="I109" s="11">
        <v>0.5</v>
      </c>
      <c r="J109" s="11">
        <v>772.15</v>
      </c>
      <c r="K109" s="11">
        <v>493.64</v>
      </c>
      <c r="L109" s="12">
        <f>L108</f>
        <v>0.35</v>
      </c>
      <c r="M109" s="11">
        <v>1</v>
      </c>
      <c r="N109" s="631">
        <v>17.86525</v>
      </c>
      <c r="O109" s="3">
        <f>(F109*(G109-G109*H109)+I109*((J109+K109)-(J109+K109)*L109)/2+M109*N109)*1.015</f>
        <v>455.85775917500001</v>
      </c>
      <c r="P109" t="s">
        <v>89</v>
      </c>
      <c r="Q109" s="248">
        <f t="shared" si="17"/>
        <v>45809</v>
      </c>
    </row>
    <row r="110" spans="1:17">
      <c r="A110" s="235" t="s">
        <v>77</v>
      </c>
      <c r="B110" s="237" t="s">
        <v>950</v>
      </c>
      <c r="C110" s="223" t="s">
        <v>63</v>
      </c>
      <c r="D110" s="238">
        <v>139.69999999999999</v>
      </c>
      <c r="E110" s="227">
        <v>5</v>
      </c>
      <c r="F110" s="11">
        <v>1.06</v>
      </c>
      <c r="G110" s="11">
        <v>669.37</v>
      </c>
      <c r="H110" s="12">
        <f>H109</f>
        <v>0.35</v>
      </c>
      <c r="I110" s="11">
        <v>0.4</v>
      </c>
      <c r="J110" s="11">
        <v>3020.26</v>
      </c>
      <c r="K110" s="11">
        <v>2049.6799999999998</v>
      </c>
      <c r="L110" s="12">
        <f>L109</f>
        <v>0.35</v>
      </c>
      <c r="M110" s="11">
        <v>1</v>
      </c>
      <c r="N110" s="11">
        <v>23.172499999999999</v>
      </c>
      <c r="O110" s="3">
        <f>(F110*(G110-G110*H110)+I110*((J110+K110)-(J110+K110)*L110)/2+M110*N110)*1.015</f>
        <v>1160.61253945</v>
      </c>
      <c r="P110" t="s">
        <v>89</v>
      </c>
      <c r="Q110" s="248">
        <f t="shared" si="17"/>
        <v>45809</v>
      </c>
    </row>
    <row r="111" spans="1:17" ht="15.75" thickBot="1">
      <c r="A111" s="235" t="s">
        <v>77</v>
      </c>
      <c r="B111" s="237" t="s">
        <v>950</v>
      </c>
      <c r="C111" s="223" t="s">
        <v>66</v>
      </c>
      <c r="D111" s="238">
        <v>168.3</v>
      </c>
      <c r="E111" s="227">
        <v>6</v>
      </c>
      <c r="F111" s="11">
        <v>1.06</v>
      </c>
      <c r="G111" s="14">
        <v>1108.49</v>
      </c>
      <c r="H111" s="15">
        <f>H110</f>
        <v>0.35</v>
      </c>
      <c r="I111" s="14">
        <v>0.4</v>
      </c>
      <c r="J111" s="14">
        <v>3669.23</v>
      </c>
      <c r="K111" s="14">
        <v>2746.92</v>
      </c>
      <c r="L111" s="15">
        <f>L110</f>
        <v>0.35</v>
      </c>
      <c r="M111" s="14">
        <v>1</v>
      </c>
      <c r="N111" s="14">
        <v>31.164999999999999</v>
      </c>
      <c r="O111" s="16">
        <f>(F111*(G111-G111*H111)+I111*((J111+K111)-(J111+K111)*L111)/2+M111*N111)*1.015</f>
        <v>1653.44932165</v>
      </c>
      <c r="P111" t="s">
        <v>89</v>
      </c>
      <c r="Q111" s="248">
        <f t="shared" si="17"/>
        <v>45809</v>
      </c>
    </row>
  </sheetData>
  <mergeCells count="2">
    <mergeCell ref="D80:H80"/>
    <mergeCell ref="D97:H9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F1B7-DBA4-4E57-AA47-FF8F51EC5362}">
  <dimension ref="A1:O157"/>
  <sheetViews>
    <sheetView workbookViewId="0">
      <selection activeCell="C4" sqref="C4"/>
    </sheetView>
  </sheetViews>
  <sheetFormatPr defaultRowHeight="15"/>
  <cols>
    <col min="1" max="1" width="12.28515625" style="28" customWidth="1"/>
    <col min="3" max="3" width="13.85546875" customWidth="1"/>
    <col min="4" max="4" width="8.7109375" customWidth="1"/>
    <col min="5" max="5" width="11.7109375" customWidth="1"/>
    <col min="6" max="7" width="8.7109375" customWidth="1"/>
    <col min="8" max="9" width="14.42578125" customWidth="1"/>
    <col min="10" max="11" width="8.7109375" customWidth="1"/>
    <col min="12" max="12" width="12" customWidth="1"/>
    <col min="13" max="13" width="11" customWidth="1"/>
    <col min="14" max="14" width="12.28515625" customWidth="1"/>
    <col min="15" max="15" width="12.85546875" customWidth="1"/>
    <col min="16" max="16" width="14.28515625" customWidth="1"/>
    <col min="257" max="257" width="12.28515625" customWidth="1"/>
    <col min="259" max="259" width="13.85546875" customWidth="1"/>
    <col min="260" max="260" width="8.7109375" customWidth="1"/>
    <col min="261" max="261" width="11.7109375" customWidth="1"/>
    <col min="262" max="263" width="8.7109375" customWidth="1"/>
    <col min="264" max="265" width="14.42578125" customWidth="1"/>
    <col min="266" max="267" width="8.7109375" customWidth="1"/>
    <col min="268" max="268" width="12" customWidth="1"/>
    <col min="269" max="269" width="11" customWidth="1"/>
    <col min="270" max="270" width="12.28515625" customWidth="1"/>
    <col min="271" max="271" width="12.85546875" customWidth="1"/>
    <col min="272" max="272" width="14.28515625" customWidth="1"/>
    <col min="513" max="513" width="12.28515625" customWidth="1"/>
    <col min="515" max="515" width="13.85546875" customWidth="1"/>
    <col min="516" max="516" width="8.7109375" customWidth="1"/>
    <col min="517" max="517" width="11.7109375" customWidth="1"/>
    <col min="518" max="519" width="8.7109375" customWidth="1"/>
    <col min="520" max="521" width="14.42578125" customWidth="1"/>
    <col min="522" max="523" width="8.7109375" customWidth="1"/>
    <col min="524" max="524" width="12" customWidth="1"/>
    <col min="525" max="525" width="11" customWidth="1"/>
    <col min="526" max="526" width="12.28515625" customWidth="1"/>
    <col min="527" max="527" width="12.85546875" customWidth="1"/>
    <col min="528" max="528" width="14.28515625" customWidth="1"/>
    <col min="769" max="769" width="12.28515625" customWidth="1"/>
    <col min="771" max="771" width="13.85546875" customWidth="1"/>
    <col min="772" max="772" width="8.7109375" customWidth="1"/>
    <col min="773" max="773" width="11.7109375" customWidth="1"/>
    <col min="774" max="775" width="8.7109375" customWidth="1"/>
    <col min="776" max="777" width="14.42578125" customWidth="1"/>
    <col min="778" max="779" width="8.7109375" customWidth="1"/>
    <col min="780" max="780" width="12" customWidth="1"/>
    <col min="781" max="781" width="11" customWidth="1"/>
    <col min="782" max="782" width="12.28515625" customWidth="1"/>
    <col min="783" max="783" width="12.85546875" customWidth="1"/>
    <col min="784" max="784" width="14.28515625" customWidth="1"/>
    <col min="1025" max="1025" width="12.28515625" customWidth="1"/>
    <col min="1027" max="1027" width="13.85546875" customWidth="1"/>
    <col min="1028" max="1028" width="8.7109375" customWidth="1"/>
    <col min="1029" max="1029" width="11.7109375" customWidth="1"/>
    <col min="1030" max="1031" width="8.7109375" customWidth="1"/>
    <col min="1032" max="1033" width="14.42578125" customWidth="1"/>
    <col min="1034" max="1035" width="8.7109375" customWidth="1"/>
    <col min="1036" max="1036" width="12" customWidth="1"/>
    <col min="1037" max="1037" width="11" customWidth="1"/>
    <col min="1038" max="1038" width="12.28515625" customWidth="1"/>
    <col min="1039" max="1039" width="12.85546875" customWidth="1"/>
    <col min="1040" max="1040" width="14.28515625" customWidth="1"/>
    <col min="1281" max="1281" width="12.28515625" customWidth="1"/>
    <col min="1283" max="1283" width="13.85546875" customWidth="1"/>
    <col min="1284" max="1284" width="8.7109375" customWidth="1"/>
    <col min="1285" max="1285" width="11.7109375" customWidth="1"/>
    <col min="1286" max="1287" width="8.7109375" customWidth="1"/>
    <col min="1288" max="1289" width="14.42578125" customWidth="1"/>
    <col min="1290" max="1291" width="8.7109375" customWidth="1"/>
    <col min="1292" max="1292" width="12" customWidth="1"/>
    <col min="1293" max="1293" width="11" customWidth="1"/>
    <col min="1294" max="1294" width="12.28515625" customWidth="1"/>
    <col min="1295" max="1295" width="12.85546875" customWidth="1"/>
    <col min="1296" max="1296" width="14.28515625" customWidth="1"/>
    <col min="1537" max="1537" width="12.28515625" customWidth="1"/>
    <col min="1539" max="1539" width="13.85546875" customWidth="1"/>
    <col min="1540" max="1540" width="8.7109375" customWidth="1"/>
    <col min="1541" max="1541" width="11.7109375" customWidth="1"/>
    <col min="1542" max="1543" width="8.7109375" customWidth="1"/>
    <col min="1544" max="1545" width="14.42578125" customWidth="1"/>
    <col min="1546" max="1547" width="8.7109375" customWidth="1"/>
    <col min="1548" max="1548" width="12" customWidth="1"/>
    <col min="1549" max="1549" width="11" customWidth="1"/>
    <col min="1550" max="1550" width="12.28515625" customWidth="1"/>
    <col min="1551" max="1551" width="12.85546875" customWidth="1"/>
    <col min="1552" max="1552" width="14.28515625" customWidth="1"/>
    <col min="1793" max="1793" width="12.28515625" customWidth="1"/>
    <col min="1795" max="1795" width="13.85546875" customWidth="1"/>
    <col min="1796" max="1796" width="8.7109375" customWidth="1"/>
    <col min="1797" max="1797" width="11.7109375" customWidth="1"/>
    <col min="1798" max="1799" width="8.7109375" customWidth="1"/>
    <col min="1800" max="1801" width="14.42578125" customWidth="1"/>
    <col min="1802" max="1803" width="8.7109375" customWidth="1"/>
    <col min="1804" max="1804" width="12" customWidth="1"/>
    <col min="1805" max="1805" width="11" customWidth="1"/>
    <col min="1806" max="1806" width="12.28515625" customWidth="1"/>
    <col min="1807" max="1807" width="12.85546875" customWidth="1"/>
    <col min="1808" max="1808" width="14.28515625" customWidth="1"/>
    <col min="2049" max="2049" width="12.28515625" customWidth="1"/>
    <col min="2051" max="2051" width="13.85546875" customWidth="1"/>
    <col min="2052" max="2052" width="8.7109375" customWidth="1"/>
    <col min="2053" max="2053" width="11.7109375" customWidth="1"/>
    <col min="2054" max="2055" width="8.7109375" customWidth="1"/>
    <col min="2056" max="2057" width="14.42578125" customWidth="1"/>
    <col min="2058" max="2059" width="8.7109375" customWidth="1"/>
    <col min="2060" max="2060" width="12" customWidth="1"/>
    <col min="2061" max="2061" width="11" customWidth="1"/>
    <col min="2062" max="2062" width="12.28515625" customWidth="1"/>
    <col min="2063" max="2063" width="12.85546875" customWidth="1"/>
    <col min="2064" max="2064" width="14.28515625" customWidth="1"/>
    <col min="2305" max="2305" width="12.28515625" customWidth="1"/>
    <col min="2307" max="2307" width="13.85546875" customWidth="1"/>
    <col min="2308" max="2308" width="8.7109375" customWidth="1"/>
    <col min="2309" max="2309" width="11.7109375" customWidth="1"/>
    <col min="2310" max="2311" width="8.7109375" customWidth="1"/>
    <col min="2312" max="2313" width="14.42578125" customWidth="1"/>
    <col min="2314" max="2315" width="8.7109375" customWidth="1"/>
    <col min="2316" max="2316" width="12" customWidth="1"/>
    <col min="2317" max="2317" width="11" customWidth="1"/>
    <col min="2318" max="2318" width="12.28515625" customWidth="1"/>
    <col min="2319" max="2319" width="12.85546875" customWidth="1"/>
    <col min="2320" max="2320" width="14.28515625" customWidth="1"/>
    <col min="2561" max="2561" width="12.28515625" customWidth="1"/>
    <col min="2563" max="2563" width="13.85546875" customWidth="1"/>
    <col min="2564" max="2564" width="8.7109375" customWidth="1"/>
    <col min="2565" max="2565" width="11.7109375" customWidth="1"/>
    <col min="2566" max="2567" width="8.7109375" customWidth="1"/>
    <col min="2568" max="2569" width="14.42578125" customWidth="1"/>
    <col min="2570" max="2571" width="8.7109375" customWidth="1"/>
    <col min="2572" max="2572" width="12" customWidth="1"/>
    <col min="2573" max="2573" width="11" customWidth="1"/>
    <col min="2574" max="2574" width="12.28515625" customWidth="1"/>
    <col min="2575" max="2575" width="12.85546875" customWidth="1"/>
    <col min="2576" max="2576" width="14.28515625" customWidth="1"/>
    <col min="2817" max="2817" width="12.28515625" customWidth="1"/>
    <col min="2819" max="2819" width="13.85546875" customWidth="1"/>
    <col min="2820" max="2820" width="8.7109375" customWidth="1"/>
    <col min="2821" max="2821" width="11.7109375" customWidth="1"/>
    <col min="2822" max="2823" width="8.7109375" customWidth="1"/>
    <col min="2824" max="2825" width="14.42578125" customWidth="1"/>
    <col min="2826" max="2827" width="8.7109375" customWidth="1"/>
    <col min="2828" max="2828" width="12" customWidth="1"/>
    <col min="2829" max="2829" width="11" customWidth="1"/>
    <col min="2830" max="2830" width="12.28515625" customWidth="1"/>
    <col min="2831" max="2831" width="12.85546875" customWidth="1"/>
    <col min="2832" max="2832" width="14.28515625" customWidth="1"/>
    <col min="3073" max="3073" width="12.28515625" customWidth="1"/>
    <col min="3075" max="3075" width="13.85546875" customWidth="1"/>
    <col min="3076" max="3076" width="8.7109375" customWidth="1"/>
    <col min="3077" max="3077" width="11.7109375" customWidth="1"/>
    <col min="3078" max="3079" width="8.7109375" customWidth="1"/>
    <col min="3080" max="3081" width="14.42578125" customWidth="1"/>
    <col min="3082" max="3083" width="8.7109375" customWidth="1"/>
    <col min="3084" max="3084" width="12" customWidth="1"/>
    <col min="3085" max="3085" width="11" customWidth="1"/>
    <col min="3086" max="3086" width="12.28515625" customWidth="1"/>
    <col min="3087" max="3087" width="12.85546875" customWidth="1"/>
    <col min="3088" max="3088" width="14.28515625" customWidth="1"/>
    <col min="3329" max="3329" width="12.28515625" customWidth="1"/>
    <col min="3331" max="3331" width="13.85546875" customWidth="1"/>
    <col min="3332" max="3332" width="8.7109375" customWidth="1"/>
    <col min="3333" max="3333" width="11.7109375" customWidth="1"/>
    <col min="3334" max="3335" width="8.7109375" customWidth="1"/>
    <col min="3336" max="3337" width="14.42578125" customWidth="1"/>
    <col min="3338" max="3339" width="8.7109375" customWidth="1"/>
    <col min="3340" max="3340" width="12" customWidth="1"/>
    <col min="3341" max="3341" width="11" customWidth="1"/>
    <col min="3342" max="3342" width="12.28515625" customWidth="1"/>
    <col min="3343" max="3343" width="12.85546875" customWidth="1"/>
    <col min="3344" max="3344" width="14.28515625" customWidth="1"/>
    <col min="3585" max="3585" width="12.28515625" customWidth="1"/>
    <col min="3587" max="3587" width="13.85546875" customWidth="1"/>
    <col min="3588" max="3588" width="8.7109375" customWidth="1"/>
    <col min="3589" max="3589" width="11.7109375" customWidth="1"/>
    <col min="3590" max="3591" width="8.7109375" customWidth="1"/>
    <col min="3592" max="3593" width="14.42578125" customWidth="1"/>
    <col min="3594" max="3595" width="8.7109375" customWidth="1"/>
    <col min="3596" max="3596" width="12" customWidth="1"/>
    <col min="3597" max="3597" width="11" customWidth="1"/>
    <col min="3598" max="3598" width="12.28515625" customWidth="1"/>
    <col min="3599" max="3599" width="12.85546875" customWidth="1"/>
    <col min="3600" max="3600" width="14.28515625" customWidth="1"/>
    <col min="3841" max="3841" width="12.28515625" customWidth="1"/>
    <col min="3843" max="3843" width="13.85546875" customWidth="1"/>
    <col min="3844" max="3844" width="8.7109375" customWidth="1"/>
    <col min="3845" max="3845" width="11.7109375" customWidth="1"/>
    <col min="3846" max="3847" width="8.7109375" customWidth="1"/>
    <col min="3848" max="3849" width="14.42578125" customWidth="1"/>
    <col min="3850" max="3851" width="8.7109375" customWidth="1"/>
    <col min="3852" max="3852" width="12" customWidth="1"/>
    <col min="3853" max="3853" width="11" customWidth="1"/>
    <col min="3854" max="3854" width="12.28515625" customWidth="1"/>
    <col min="3855" max="3855" width="12.85546875" customWidth="1"/>
    <col min="3856" max="3856" width="14.28515625" customWidth="1"/>
    <col min="4097" max="4097" width="12.28515625" customWidth="1"/>
    <col min="4099" max="4099" width="13.85546875" customWidth="1"/>
    <col min="4100" max="4100" width="8.7109375" customWidth="1"/>
    <col min="4101" max="4101" width="11.7109375" customWidth="1"/>
    <col min="4102" max="4103" width="8.7109375" customWidth="1"/>
    <col min="4104" max="4105" width="14.42578125" customWidth="1"/>
    <col min="4106" max="4107" width="8.7109375" customWidth="1"/>
    <col min="4108" max="4108" width="12" customWidth="1"/>
    <col min="4109" max="4109" width="11" customWidth="1"/>
    <col min="4110" max="4110" width="12.28515625" customWidth="1"/>
    <col min="4111" max="4111" width="12.85546875" customWidth="1"/>
    <col min="4112" max="4112" width="14.28515625" customWidth="1"/>
    <col min="4353" max="4353" width="12.28515625" customWidth="1"/>
    <col min="4355" max="4355" width="13.85546875" customWidth="1"/>
    <col min="4356" max="4356" width="8.7109375" customWidth="1"/>
    <col min="4357" max="4357" width="11.7109375" customWidth="1"/>
    <col min="4358" max="4359" width="8.7109375" customWidth="1"/>
    <col min="4360" max="4361" width="14.42578125" customWidth="1"/>
    <col min="4362" max="4363" width="8.7109375" customWidth="1"/>
    <col min="4364" max="4364" width="12" customWidth="1"/>
    <col min="4365" max="4365" width="11" customWidth="1"/>
    <col min="4366" max="4366" width="12.28515625" customWidth="1"/>
    <col min="4367" max="4367" width="12.85546875" customWidth="1"/>
    <col min="4368" max="4368" width="14.28515625" customWidth="1"/>
    <col min="4609" max="4609" width="12.28515625" customWidth="1"/>
    <col min="4611" max="4611" width="13.85546875" customWidth="1"/>
    <col min="4612" max="4612" width="8.7109375" customWidth="1"/>
    <col min="4613" max="4613" width="11.7109375" customWidth="1"/>
    <col min="4614" max="4615" width="8.7109375" customWidth="1"/>
    <col min="4616" max="4617" width="14.42578125" customWidth="1"/>
    <col min="4618" max="4619" width="8.7109375" customWidth="1"/>
    <col min="4620" max="4620" width="12" customWidth="1"/>
    <col min="4621" max="4621" width="11" customWidth="1"/>
    <col min="4622" max="4622" width="12.28515625" customWidth="1"/>
    <col min="4623" max="4623" width="12.85546875" customWidth="1"/>
    <col min="4624" max="4624" width="14.28515625" customWidth="1"/>
    <col min="4865" max="4865" width="12.28515625" customWidth="1"/>
    <col min="4867" max="4867" width="13.85546875" customWidth="1"/>
    <col min="4868" max="4868" width="8.7109375" customWidth="1"/>
    <col min="4869" max="4869" width="11.7109375" customWidth="1"/>
    <col min="4870" max="4871" width="8.7109375" customWidth="1"/>
    <col min="4872" max="4873" width="14.42578125" customWidth="1"/>
    <col min="4874" max="4875" width="8.7109375" customWidth="1"/>
    <col min="4876" max="4876" width="12" customWidth="1"/>
    <col min="4877" max="4877" width="11" customWidth="1"/>
    <col min="4878" max="4878" width="12.28515625" customWidth="1"/>
    <col min="4879" max="4879" width="12.85546875" customWidth="1"/>
    <col min="4880" max="4880" width="14.28515625" customWidth="1"/>
    <col min="5121" max="5121" width="12.28515625" customWidth="1"/>
    <col min="5123" max="5123" width="13.85546875" customWidth="1"/>
    <col min="5124" max="5124" width="8.7109375" customWidth="1"/>
    <col min="5125" max="5125" width="11.7109375" customWidth="1"/>
    <col min="5126" max="5127" width="8.7109375" customWidth="1"/>
    <col min="5128" max="5129" width="14.42578125" customWidth="1"/>
    <col min="5130" max="5131" width="8.7109375" customWidth="1"/>
    <col min="5132" max="5132" width="12" customWidth="1"/>
    <col min="5133" max="5133" width="11" customWidth="1"/>
    <col min="5134" max="5134" width="12.28515625" customWidth="1"/>
    <col min="5135" max="5135" width="12.85546875" customWidth="1"/>
    <col min="5136" max="5136" width="14.28515625" customWidth="1"/>
    <col min="5377" max="5377" width="12.28515625" customWidth="1"/>
    <col min="5379" max="5379" width="13.85546875" customWidth="1"/>
    <col min="5380" max="5380" width="8.7109375" customWidth="1"/>
    <col min="5381" max="5381" width="11.7109375" customWidth="1"/>
    <col min="5382" max="5383" width="8.7109375" customWidth="1"/>
    <col min="5384" max="5385" width="14.42578125" customWidth="1"/>
    <col min="5386" max="5387" width="8.7109375" customWidth="1"/>
    <col min="5388" max="5388" width="12" customWidth="1"/>
    <col min="5389" max="5389" width="11" customWidth="1"/>
    <col min="5390" max="5390" width="12.28515625" customWidth="1"/>
    <col min="5391" max="5391" width="12.85546875" customWidth="1"/>
    <col min="5392" max="5392" width="14.28515625" customWidth="1"/>
    <col min="5633" max="5633" width="12.28515625" customWidth="1"/>
    <col min="5635" max="5635" width="13.85546875" customWidth="1"/>
    <col min="5636" max="5636" width="8.7109375" customWidth="1"/>
    <col min="5637" max="5637" width="11.7109375" customWidth="1"/>
    <col min="5638" max="5639" width="8.7109375" customWidth="1"/>
    <col min="5640" max="5641" width="14.42578125" customWidth="1"/>
    <col min="5642" max="5643" width="8.7109375" customWidth="1"/>
    <col min="5644" max="5644" width="12" customWidth="1"/>
    <col min="5645" max="5645" width="11" customWidth="1"/>
    <col min="5646" max="5646" width="12.28515625" customWidth="1"/>
    <col min="5647" max="5647" width="12.85546875" customWidth="1"/>
    <col min="5648" max="5648" width="14.28515625" customWidth="1"/>
    <col min="5889" max="5889" width="12.28515625" customWidth="1"/>
    <col min="5891" max="5891" width="13.85546875" customWidth="1"/>
    <col min="5892" max="5892" width="8.7109375" customWidth="1"/>
    <col min="5893" max="5893" width="11.7109375" customWidth="1"/>
    <col min="5894" max="5895" width="8.7109375" customWidth="1"/>
    <col min="5896" max="5897" width="14.42578125" customWidth="1"/>
    <col min="5898" max="5899" width="8.7109375" customWidth="1"/>
    <col min="5900" max="5900" width="12" customWidth="1"/>
    <col min="5901" max="5901" width="11" customWidth="1"/>
    <col min="5902" max="5902" width="12.28515625" customWidth="1"/>
    <col min="5903" max="5903" width="12.85546875" customWidth="1"/>
    <col min="5904" max="5904" width="14.28515625" customWidth="1"/>
    <col min="6145" max="6145" width="12.28515625" customWidth="1"/>
    <col min="6147" max="6147" width="13.85546875" customWidth="1"/>
    <col min="6148" max="6148" width="8.7109375" customWidth="1"/>
    <col min="6149" max="6149" width="11.7109375" customWidth="1"/>
    <col min="6150" max="6151" width="8.7109375" customWidth="1"/>
    <col min="6152" max="6153" width="14.42578125" customWidth="1"/>
    <col min="6154" max="6155" width="8.7109375" customWidth="1"/>
    <col min="6156" max="6156" width="12" customWidth="1"/>
    <col min="6157" max="6157" width="11" customWidth="1"/>
    <col min="6158" max="6158" width="12.28515625" customWidth="1"/>
    <col min="6159" max="6159" width="12.85546875" customWidth="1"/>
    <col min="6160" max="6160" width="14.28515625" customWidth="1"/>
    <col min="6401" max="6401" width="12.28515625" customWidth="1"/>
    <col min="6403" max="6403" width="13.85546875" customWidth="1"/>
    <col min="6404" max="6404" width="8.7109375" customWidth="1"/>
    <col min="6405" max="6405" width="11.7109375" customWidth="1"/>
    <col min="6406" max="6407" width="8.7109375" customWidth="1"/>
    <col min="6408" max="6409" width="14.42578125" customWidth="1"/>
    <col min="6410" max="6411" width="8.7109375" customWidth="1"/>
    <col min="6412" max="6412" width="12" customWidth="1"/>
    <col min="6413" max="6413" width="11" customWidth="1"/>
    <col min="6414" max="6414" width="12.28515625" customWidth="1"/>
    <col min="6415" max="6415" width="12.85546875" customWidth="1"/>
    <col min="6416" max="6416" width="14.28515625" customWidth="1"/>
    <col min="6657" max="6657" width="12.28515625" customWidth="1"/>
    <col min="6659" max="6659" width="13.85546875" customWidth="1"/>
    <col min="6660" max="6660" width="8.7109375" customWidth="1"/>
    <col min="6661" max="6661" width="11.7109375" customWidth="1"/>
    <col min="6662" max="6663" width="8.7109375" customWidth="1"/>
    <col min="6664" max="6665" width="14.42578125" customWidth="1"/>
    <col min="6666" max="6667" width="8.7109375" customWidth="1"/>
    <col min="6668" max="6668" width="12" customWidth="1"/>
    <col min="6669" max="6669" width="11" customWidth="1"/>
    <col min="6670" max="6670" width="12.28515625" customWidth="1"/>
    <col min="6671" max="6671" width="12.85546875" customWidth="1"/>
    <col min="6672" max="6672" width="14.28515625" customWidth="1"/>
    <col min="6913" max="6913" width="12.28515625" customWidth="1"/>
    <col min="6915" max="6915" width="13.85546875" customWidth="1"/>
    <col min="6916" max="6916" width="8.7109375" customWidth="1"/>
    <col min="6917" max="6917" width="11.7109375" customWidth="1"/>
    <col min="6918" max="6919" width="8.7109375" customWidth="1"/>
    <col min="6920" max="6921" width="14.42578125" customWidth="1"/>
    <col min="6922" max="6923" width="8.7109375" customWidth="1"/>
    <col min="6924" max="6924" width="12" customWidth="1"/>
    <col min="6925" max="6925" width="11" customWidth="1"/>
    <col min="6926" max="6926" width="12.28515625" customWidth="1"/>
    <col min="6927" max="6927" width="12.85546875" customWidth="1"/>
    <col min="6928" max="6928" width="14.28515625" customWidth="1"/>
    <col min="7169" max="7169" width="12.28515625" customWidth="1"/>
    <col min="7171" max="7171" width="13.85546875" customWidth="1"/>
    <col min="7172" max="7172" width="8.7109375" customWidth="1"/>
    <col min="7173" max="7173" width="11.7109375" customWidth="1"/>
    <col min="7174" max="7175" width="8.7109375" customWidth="1"/>
    <col min="7176" max="7177" width="14.42578125" customWidth="1"/>
    <col min="7178" max="7179" width="8.7109375" customWidth="1"/>
    <col min="7180" max="7180" width="12" customWidth="1"/>
    <col min="7181" max="7181" width="11" customWidth="1"/>
    <col min="7182" max="7182" width="12.28515625" customWidth="1"/>
    <col min="7183" max="7183" width="12.85546875" customWidth="1"/>
    <col min="7184" max="7184" width="14.28515625" customWidth="1"/>
    <col min="7425" max="7425" width="12.28515625" customWidth="1"/>
    <col min="7427" max="7427" width="13.85546875" customWidth="1"/>
    <col min="7428" max="7428" width="8.7109375" customWidth="1"/>
    <col min="7429" max="7429" width="11.7109375" customWidth="1"/>
    <col min="7430" max="7431" width="8.7109375" customWidth="1"/>
    <col min="7432" max="7433" width="14.42578125" customWidth="1"/>
    <col min="7434" max="7435" width="8.7109375" customWidth="1"/>
    <col min="7436" max="7436" width="12" customWidth="1"/>
    <col min="7437" max="7437" width="11" customWidth="1"/>
    <col min="7438" max="7438" width="12.28515625" customWidth="1"/>
    <col min="7439" max="7439" width="12.85546875" customWidth="1"/>
    <col min="7440" max="7440" width="14.28515625" customWidth="1"/>
    <col min="7681" max="7681" width="12.28515625" customWidth="1"/>
    <col min="7683" max="7683" width="13.85546875" customWidth="1"/>
    <col min="7684" max="7684" width="8.7109375" customWidth="1"/>
    <col min="7685" max="7685" width="11.7109375" customWidth="1"/>
    <col min="7686" max="7687" width="8.7109375" customWidth="1"/>
    <col min="7688" max="7689" width="14.42578125" customWidth="1"/>
    <col min="7690" max="7691" width="8.7109375" customWidth="1"/>
    <col min="7692" max="7692" width="12" customWidth="1"/>
    <col min="7693" max="7693" width="11" customWidth="1"/>
    <col min="7694" max="7694" width="12.28515625" customWidth="1"/>
    <col min="7695" max="7695" width="12.85546875" customWidth="1"/>
    <col min="7696" max="7696" width="14.28515625" customWidth="1"/>
    <col min="7937" max="7937" width="12.28515625" customWidth="1"/>
    <col min="7939" max="7939" width="13.85546875" customWidth="1"/>
    <col min="7940" max="7940" width="8.7109375" customWidth="1"/>
    <col min="7941" max="7941" width="11.7109375" customWidth="1"/>
    <col min="7942" max="7943" width="8.7109375" customWidth="1"/>
    <col min="7944" max="7945" width="14.42578125" customWidth="1"/>
    <col min="7946" max="7947" width="8.7109375" customWidth="1"/>
    <col min="7948" max="7948" width="12" customWidth="1"/>
    <col min="7949" max="7949" width="11" customWidth="1"/>
    <col min="7950" max="7950" width="12.28515625" customWidth="1"/>
    <col min="7951" max="7951" width="12.85546875" customWidth="1"/>
    <col min="7952" max="7952" width="14.28515625" customWidth="1"/>
    <col min="8193" max="8193" width="12.28515625" customWidth="1"/>
    <col min="8195" max="8195" width="13.85546875" customWidth="1"/>
    <col min="8196" max="8196" width="8.7109375" customWidth="1"/>
    <col min="8197" max="8197" width="11.7109375" customWidth="1"/>
    <col min="8198" max="8199" width="8.7109375" customWidth="1"/>
    <col min="8200" max="8201" width="14.42578125" customWidth="1"/>
    <col min="8202" max="8203" width="8.7109375" customWidth="1"/>
    <col min="8204" max="8204" width="12" customWidth="1"/>
    <col min="8205" max="8205" width="11" customWidth="1"/>
    <col min="8206" max="8206" width="12.28515625" customWidth="1"/>
    <col min="8207" max="8207" width="12.85546875" customWidth="1"/>
    <col min="8208" max="8208" width="14.28515625" customWidth="1"/>
    <col min="8449" max="8449" width="12.28515625" customWidth="1"/>
    <col min="8451" max="8451" width="13.85546875" customWidth="1"/>
    <col min="8452" max="8452" width="8.7109375" customWidth="1"/>
    <col min="8453" max="8453" width="11.7109375" customWidth="1"/>
    <col min="8454" max="8455" width="8.7109375" customWidth="1"/>
    <col min="8456" max="8457" width="14.42578125" customWidth="1"/>
    <col min="8458" max="8459" width="8.7109375" customWidth="1"/>
    <col min="8460" max="8460" width="12" customWidth="1"/>
    <col min="8461" max="8461" width="11" customWidth="1"/>
    <col min="8462" max="8462" width="12.28515625" customWidth="1"/>
    <col min="8463" max="8463" width="12.85546875" customWidth="1"/>
    <col min="8464" max="8464" width="14.28515625" customWidth="1"/>
    <col min="8705" max="8705" width="12.28515625" customWidth="1"/>
    <col min="8707" max="8707" width="13.85546875" customWidth="1"/>
    <col min="8708" max="8708" width="8.7109375" customWidth="1"/>
    <col min="8709" max="8709" width="11.7109375" customWidth="1"/>
    <col min="8710" max="8711" width="8.7109375" customWidth="1"/>
    <col min="8712" max="8713" width="14.42578125" customWidth="1"/>
    <col min="8714" max="8715" width="8.7109375" customWidth="1"/>
    <col min="8716" max="8716" width="12" customWidth="1"/>
    <col min="8717" max="8717" width="11" customWidth="1"/>
    <col min="8718" max="8718" width="12.28515625" customWidth="1"/>
    <col min="8719" max="8719" width="12.85546875" customWidth="1"/>
    <col min="8720" max="8720" width="14.28515625" customWidth="1"/>
    <col min="8961" max="8961" width="12.28515625" customWidth="1"/>
    <col min="8963" max="8963" width="13.85546875" customWidth="1"/>
    <col min="8964" max="8964" width="8.7109375" customWidth="1"/>
    <col min="8965" max="8965" width="11.7109375" customWidth="1"/>
    <col min="8966" max="8967" width="8.7109375" customWidth="1"/>
    <col min="8968" max="8969" width="14.42578125" customWidth="1"/>
    <col min="8970" max="8971" width="8.7109375" customWidth="1"/>
    <col min="8972" max="8972" width="12" customWidth="1"/>
    <col min="8973" max="8973" width="11" customWidth="1"/>
    <col min="8974" max="8974" width="12.28515625" customWidth="1"/>
    <col min="8975" max="8975" width="12.85546875" customWidth="1"/>
    <col min="8976" max="8976" width="14.28515625" customWidth="1"/>
    <col min="9217" max="9217" width="12.28515625" customWidth="1"/>
    <col min="9219" max="9219" width="13.85546875" customWidth="1"/>
    <col min="9220" max="9220" width="8.7109375" customWidth="1"/>
    <col min="9221" max="9221" width="11.7109375" customWidth="1"/>
    <col min="9222" max="9223" width="8.7109375" customWidth="1"/>
    <col min="9224" max="9225" width="14.42578125" customWidth="1"/>
    <col min="9226" max="9227" width="8.7109375" customWidth="1"/>
    <col min="9228" max="9228" width="12" customWidth="1"/>
    <col min="9229" max="9229" width="11" customWidth="1"/>
    <col min="9230" max="9230" width="12.28515625" customWidth="1"/>
    <col min="9231" max="9231" width="12.85546875" customWidth="1"/>
    <col min="9232" max="9232" width="14.28515625" customWidth="1"/>
    <col min="9473" max="9473" width="12.28515625" customWidth="1"/>
    <col min="9475" max="9475" width="13.85546875" customWidth="1"/>
    <col min="9476" max="9476" width="8.7109375" customWidth="1"/>
    <col min="9477" max="9477" width="11.7109375" customWidth="1"/>
    <col min="9478" max="9479" width="8.7109375" customWidth="1"/>
    <col min="9480" max="9481" width="14.42578125" customWidth="1"/>
    <col min="9482" max="9483" width="8.7109375" customWidth="1"/>
    <col min="9484" max="9484" width="12" customWidth="1"/>
    <col min="9485" max="9485" width="11" customWidth="1"/>
    <col min="9486" max="9486" width="12.28515625" customWidth="1"/>
    <col min="9487" max="9487" width="12.85546875" customWidth="1"/>
    <col min="9488" max="9488" width="14.28515625" customWidth="1"/>
    <col min="9729" max="9729" width="12.28515625" customWidth="1"/>
    <col min="9731" max="9731" width="13.85546875" customWidth="1"/>
    <col min="9732" max="9732" width="8.7109375" customWidth="1"/>
    <col min="9733" max="9733" width="11.7109375" customWidth="1"/>
    <col min="9734" max="9735" width="8.7109375" customWidth="1"/>
    <col min="9736" max="9737" width="14.42578125" customWidth="1"/>
    <col min="9738" max="9739" width="8.7109375" customWidth="1"/>
    <col min="9740" max="9740" width="12" customWidth="1"/>
    <col min="9741" max="9741" width="11" customWidth="1"/>
    <col min="9742" max="9742" width="12.28515625" customWidth="1"/>
    <col min="9743" max="9743" width="12.85546875" customWidth="1"/>
    <col min="9744" max="9744" width="14.28515625" customWidth="1"/>
    <col min="9985" max="9985" width="12.28515625" customWidth="1"/>
    <col min="9987" max="9987" width="13.85546875" customWidth="1"/>
    <col min="9988" max="9988" width="8.7109375" customWidth="1"/>
    <col min="9989" max="9989" width="11.7109375" customWidth="1"/>
    <col min="9990" max="9991" width="8.7109375" customWidth="1"/>
    <col min="9992" max="9993" width="14.42578125" customWidth="1"/>
    <col min="9994" max="9995" width="8.7109375" customWidth="1"/>
    <col min="9996" max="9996" width="12" customWidth="1"/>
    <col min="9997" max="9997" width="11" customWidth="1"/>
    <col min="9998" max="9998" width="12.28515625" customWidth="1"/>
    <col min="9999" max="9999" width="12.85546875" customWidth="1"/>
    <col min="10000" max="10000" width="14.28515625" customWidth="1"/>
    <col min="10241" max="10241" width="12.28515625" customWidth="1"/>
    <col min="10243" max="10243" width="13.85546875" customWidth="1"/>
    <col min="10244" max="10244" width="8.7109375" customWidth="1"/>
    <col min="10245" max="10245" width="11.7109375" customWidth="1"/>
    <col min="10246" max="10247" width="8.7109375" customWidth="1"/>
    <col min="10248" max="10249" width="14.42578125" customWidth="1"/>
    <col min="10250" max="10251" width="8.7109375" customWidth="1"/>
    <col min="10252" max="10252" width="12" customWidth="1"/>
    <col min="10253" max="10253" width="11" customWidth="1"/>
    <col min="10254" max="10254" width="12.28515625" customWidth="1"/>
    <col min="10255" max="10255" width="12.85546875" customWidth="1"/>
    <col min="10256" max="10256" width="14.28515625" customWidth="1"/>
    <col min="10497" max="10497" width="12.28515625" customWidth="1"/>
    <col min="10499" max="10499" width="13.85546875" customWidth="1"/>
    <col min="10500" max="10500" width="8.7109375" customWidth="1"/>
    <col min="10501" max="10501" width="11.7109375" customWidth="1"/>
    <col min="10502" max="10503" width="8.7109375" customWidth="1"/>
    <col min="10504" max="10505" width="14.42578125" customWidth="1"/>
    <col min="10506" max="10507" width="8.7109375" customWidth="1"/>
    <col min="10508" max="10508" width="12" customWidth="1"/>
    <col min="10509" max="10509" width="11" customWidth="1"/>
    <col min="10510" max="10510" width="12.28515625" customWidth="1"/>
    <col min="10511" max="10511" width="12.85546875" customWidth="1"/>
    <col min="10512" max="10512" width="14.28515625" customWidth="1"/>
    <col min="10753" max="10753" width="12.28515625" customWidth="1"/>
    <col min="10755" max="10755" width="13.85546875" customWidth="1"/>
    <col min="10756" max="10756" width="8.7109375" customWidth="1"/>
    <col min="10757" max="10757" width="11.7109375" customWidth="1"/>
    <col min="10758" max="10759" width="8.7109375" customWidth="1"/>
    <col min="10760" max="10761" width="14.42578125" customWidth="1"/>
    <col min="10762" max="10763" width="8.7109375" customWidth="1"/>
    <col min="10764" max="10764" width="12" customWidth="1"/>
    <col min="10765" max="10765" width="11" customWidth="1"/>
    <col min="10766" max="10766" width="12.28515625" customWidth="1"/>
    <col min="10767" max="10767" width="12.85546875" customWidth="1"/>
    <col min="10768" max="10768" width="14.28515625" customWidth="1"/>
    <col min="11009" max="11009" width="12.28515625" customWidth="1"/>
    <col min="11011" max="11011" width="13.85546875" customWidth="1"/>
    <col min="11012" max="11012" width="8.7109375" customWidth="1"/>
    <col min="11013" max="11013" width="11.7109375" customWidth="1"/>
    <col min="11014" max="11015" width="8.7109375" customWidth="1"/>
    <col min="11016" max="11017" width="14.42578125" customWidth="1"/>
    <col min="11018" max="11019" width="8.7109375" customWidth="1"/>
    <col min="11020" max="11020" width="12" customWidth="1"/>
    <col min="11021" max="11021" width="11" customWidth="1"/>
    <col min="11022" max="11022" width="12.28515625" customWidth="1"/>
    <col min="11023" max="11023" width="12.85546875" customWidth="1"/>
    <col min="11024" max="11024" width="14.28515625" customWidth="1"/>
    <col min="11265" max="11265" width="12.28515625" customWidth="1"/>
    <col min="11267" max="11267" width="13.85546875" customWidth="1"/>
    <col min="11268" max="11268" width="8.7109375" customWidth="1"/>
    <col min="11269" max="11269" width="11.7109375" customWidth="1"/>
    <col min="11270" max="11271" width="8.7109375" customWidth="1"/>
    <col min="11272" max="11273" width="14.42578125" customWidth="1"/>
    <col min="11274" max="11275" width="8.7109375" customWidth="1"/>
    <col min="11276" max="11276" width="12" customWidth="1"/>
    <col min="11277" max="11277" width="11" customWidth="1"/>
    <col min="11278" max="11278" width="12.28515625" customWidth="1"/>
    <col min="11279" max="11279" width="12.85546875" customWidth="1"/>
    <col min="11280" max="11280" width="14.28515625" customWidth="1"/>
    <col min="11521" max="11521" width="12.28515625" customWidth="1"/>
    <col min="11523" max="11523" width="13.85546875" customWidth="1"/>
    <col min="11524" max="11524" width="8.7109375" customWidth="1"/>
    <col min="11525" max="11525" width="11.7109375" customWidth="1"/>
    <col min="11526" max="11527" width="8.7109375" customWidth="1"/>
    <col min="11528" max="11529" width="14.42578125" customWidth="1"/>
    <col min="11530" max="11531" width="8.7109375" customWidth="1"/>
    <col min="11532" max="11532" width="12" customWidth="1"/>
    <col min="11533" max="11533" width="11" customWidth="1"/>
    <col min="11534" max="11534" width="12.28515625" customWidth="1"/>
    <col min="11535" max="11535" width="12.85546875" customWidth="1"/>
    <col min="11536" max="11536" width="14.28515625" customWidth="1"/>
    <col min="11777" max="11777" width="12.28515625" customWidth="1"/>
    <col min="11779" max="11779" width="13.85546875" customWidth="1"/>
    <col min="11780" max="11780" width="8.7109375" customWidth="1"/>
    <col min="11781" max="11781" width="11.7109375" customWidth="1"/>
    <col min="11782" max="11783" width="8.7109375" customWidth="1"/>
    <col min="11784" max="11785" width="14.42578125" customWidth="1"/>
    <col min="11786" max="11787" width="8.7109375" customWidth="1"/>
    <col min="11788" max="11788" width="12" customWidth="1"/>
    <col min="11789" max="11789" width="11" customWidth="1"/>
    <col min="11790" max="11790" width="12.28515625" customWidth="1"/>
    <col min="11791" max="11791" width="12.85546875" customWidth="1"/>
    <col min="11792" max="11792" width="14.28515625" customWidth="1"/>
    <col min="12033" max="12033" width="12.28515625" customWidth="1"/>
    <col min="12035" max="12035" width="13.85546875" customWidth="1"/>
    <col min="12036" max="12036" width="8.7109375" customWidth="1"/>
    <col min="12037" max="12037" width="11.7109375" customWidth="1"/>
    <col min="12038" max="12039" width="8.7109375" customWidth="1"/>
    <col min="12040" max="12041" width="14.42578125" customWidth="1"/>
    <col min="12042" max="12043" width="8.7109375" customWidth="1"/>
    <col min="12044" max="12044" width="12" customWidth="1"/>
    <col min="12045" max="12045" width="11" customWidth="1"/>
    <col min="12046" max="12046" width="12.28515625" customWidth="1"/>
    <col min="12047" max="12047" width="12.85546875" customWidth="1"/>
    <col min="12048" max="12048" width="14.28515625" customWidth="1"/>
    <col min="12289" max="12289" width="12.28515625" customWidth="1"/>
    <col min="12291" max="12291" width="13.85546875" customWidth="1"/>
    <col min="12292" max="12292" width="8.7109375" customWidth="1"/>
    <col min="12293" max="12293" width="11.7109375" customWidth="1"/>
    <col min="12294" max="12295" width="8.7109375" customWidth="1"/>
    <col min="12296" max="12297" width="14.42578125" customWidth="1"/>
    <col min="12298" max="12299" width="8.7109375" customWidth="1"/>
    <col min="12300" max="12300" width="12" customWidth="1"/>
    <col min="12301" max="12301" width="11" customWidth="1"/>
    <col min="12302" max="12302" width="12.28515625" customWidth="1"/>
    <col min="12303" max="12303" width="12.85546875" customWidth="1"/>
    <col min="12304" max="12304" width="14.28515625" customWidth="1"/>
    <col min="12545" max="12545" width="12.28515625" customWidth="1"/>
    <col min="12547" max="12547" width="13.85546875" customWidth="1"/>
    <col min="12548" max="12548" width="8.7109375" customWidth="1"/>
    <col min="12549" max="12549" width="11.7109375" customWidth="1"/>
    <col min="12550" max="12551" width="8.7109375" customWidth="1"/>
    <col min="12552" max="12553" width="14.42578125" customWidth="1"/>
    <col min="12554" max="12555" width="8.7109375" customWidth="1"/>
    <col min="12556" max="12556" width="12" customWidth="1"/>
    <col min="12557" max="12557" width="11" customWidth="1"/>
    <col min="12558" max="12558" width="12.28515625" customWidth="1"/>
    <col min="12559" max="12559" width="12.85546875" customWidth="1"/>
    <col min="12560" max="12560" width="14.28515625" customWidth="1"/>
    <col min="12801" max="12801" width="12.28515625" customWidth="1"/>
    <col min="12803" max="12803" width="13.85546875" customWidth="1"/>
    <col min="12804" max="12804" width="8.7109375" customWidth="1"/>
    <col min="12805" max="12805" width="11.7109375" customWidth="1"/>
    <col min="12806" max="12807" width="8.7109375" customWidth="1"/>
    <col min="12808" max="12809" width="14.42578125" customWidth="1"/>
    <col min="12810" max="12811" width="8.7109375" customWidth="1"/>
    <col min="12812" max="12812" width="12" customWidth="1"/>
    <col min="12813" max="12813" width="11" customWidth="1"/>
    <col min="12814" max="12814" width="12.28515625" customWidth="1"/>
    <col min="12815" max="12815" width="12.85546875" customWidth="1"/>
    <col min="12816" max="12816" width="14.28515625" customWidth="1"/>
    <col min="13057" max="13057" width="12.28515625" customWidth="1"/>
    <col min="13059" max="13059" width="13.85546875" customWidth="1"/>
    <col min="13060" max="13060" width="8.7109375" customWidth="1"/>
    <col min="13061" max="13061" width="11.7109375" customWidth="1"/>
    <col min="13062" max="13063" width="8.7109375" customWidth="1"/>
    <col min="13064" max="13065" width="14.42578125" customWidth="1"/>
    <col min="13066" max="13067" width="8.7109375" customWidth="1"/>
    <col min="13068" max="13068" width="12" customWidth="1"/>
    <col min="13069" max="13069" width="11" customWidth="1"/>
    <col min="13070" max="13070" width="12.28515625" customWidth="1"/>
    <col min="13071" max="13071" width="12.85546875" customWidth="1"/>
    <col min="13072" max="13072" width="14.28515625" customWidth="1"/>
    <col min="13313" max="13313" width="12.28515625" customWidth="1"/>
    <col min="13315" max="13315" width="13.85546875" customWidth="1"/>
    <col min="13316" max="13316" width="8.7109375" customWidth="1"/>
    <col min="13317" max="13317" width="11.7109375" customWidth="1"/>
    <col min="13318" max="13319" width="8.7109375" customWidth="1"/>
    <col min="13320" max="13321" width="14.42578125" customWidth="1"/>
    <col min="13322" max="13323" width="8.7109375" customWidth="1"/>
    <col min="13324" max="13324" width="12" customWidth="1"/>
    <col min="13325" max="13325" width="11" customWidth="1"/>
    <col min="13326" max="13326" width="12.28515625" customWidth="1"/>
    <col min="13327" max="13327" width="12.85546875" customWidth="1"/>
    <col min="13328" max="13328" width="14.28515625" customWidth="1"/>
    <col min="13569" max="13569" width="12.28515625" customWidth="1"/>
    <col min="13571" max="13571" width="13.85546875" customWidth="1"/>
    <col min="13572" max="13572" width="8.7109375" customWidth="1"/>
    <col min="13573" max="13573" width="11.7109375" customWidth="1"/>
    <col min="13574" max="13575" width="8.7109375" customWidth="1"/>
    <col min="13576" max="13577" width="14.42578125" customWidth="1"/>
    <col min="13578" max="13579" width="8.7109375" customWidth="1"/>
    <col min="13580" max="13580" width="12" customWidth="1"/>
    <col min="13581" max="13581" width="11" customWidth="1"/>
    <col min="13582" max="13582" width="12.28515625" customWidth="1"/>
    <col min="13583" max="13583" width="12.85546875" customWidth="1"/>
    <col min="13584" max="13584" width="14.28515625" customWidth="1"/>
    <col min="13825" max="13825" width="12.28515625" customWidth="1"/>
    <col min="13827" max="13827" width="13.85546875" customWidth="1"/>
    <col min="13828" max="13828" width="8.7109375" customWidth="1"/>
    <col min="13829" max="13829" width="11.7109375" customWidth="1"/>
    <col min="13830" max="13831" width="8.7109375" customWidth="1"/>
    <col min="13832" max="13833" width="14.42578125" customWidth="1"/>
    <col min="13834" max="13835" width="8.7109375" customWidth="1"/>
    <col min="13836" max="13836" width="12" customWidth="1"/>
    <col min="13837" max="13837" width="11" customWidth="1"/>
    <col min="13838" max="13838" width="12.28515625" customWidth="1"/>
    <col min="13839" max="13839" width="12.85546875" customWidth="1"/>
    <col min="13840" max="13840" width="14.28515625" customWidth="1"/>
    <col min="14081" max="14081" width="12.28515625" customWidth="1"/>
    <col min="14083" max="14083" width="13.85546875" customWidth="1"/>
    <col min="14084" max="14084" width="8.7109375" customWidth="1"/>
    <col min="14085" max="14085" width="11.7109375" customWidth="1"/>
    <col min="14086" max="14087" width="8.7109375" customWidth="1"/>
    <col min="14088" max="14089" width="14.42578125" customWidth="1"/>
    <col min="14090" max="14091" width="8.7109375" customWidth="1"/>
    <col min="14092" max="14092" width="12" customWidth="1"/>
    <col min="14093" max="14093" width="11" customWidth="1"/>
    <col min="14094" max="14094" width="12.28515625" customWidth="1"/>
    <col min="14095" max="14095" width="12.85546875" customWidth="1"/>
    <col min="14096" max="14096" width="14.28515625" customWidth="1"/>
    <col min="14337" max="14337" width="12.28515625" customWidth="1"/>
    <col min="14339" max="14339" width="13.85546875" customWidth="1"/>
    <col min="14340" max="14340" width="8.7109375" customWidth="1"/>
    <col min="14341" max="14341" width="11.7109375" customWidth="1"/>
    <col min="14342" max="14343" width="8.7109375" customWidth="1"/>
    <col min="14344" max="14345" width="14.42578125" customWidth="1"/>
    <col min="14346" max="14347" width="8.7109375" customWidth="1"/>
    <col min="14348" max="14348" width="12" customWidth="1"/>
    <col min="14349" max="14349" width="11" customWidth="1"/>
    <col min="14350" max="14350" width="12.28515625" customWidth="1"/>
    <col min="14351" max="14351" width="12.85546875" customWidth="1"/>
    <col min="14352" max="14352" width="14.28515625" customWidth="1"/>
    <col min="14593" max="14593" width="12.28515625" customWidth="1"/>
    <col min="14595" max="14595" width="13.85546875" customWidth="1"/>
    <col min="14596" max="14596" width="8.7109375" customWidth="1"/>
    <col min="14597" max="14597" width="11.7109375" customWidth="1"/>
    <col min="14598" max="14599" width="8.7109375" customWidth="1"/>
    <col min="14600" max="14601" width="14.42578125" customWidth="1"/>
    <col min="14602" max="14603" width="8.7109375" customWidth="1"/>
    <col min="14604" max="14604" width="12" customWidth="1"/>
    <col min="14605" max="14605" width="11" customWidth="1"/>
    <col min="14606" max="14606" width="12.28515625" customWidth="1"/>
    <col min="14607" max="14607" width="12.85546875" customWidth="1"/>
    <col min="14608" max="14608" width="14.28515625" customWidth="1"/>
    <col min="14849" max="14849" width="12.28515625" customWidth="1"/>
    <col min="14851" max="14851" width="13.85546875" customWidth="1"/>
    <col min="14852" max="14852" width="8.7109375" customWidth="1"/>
    <col min="14853" max="14853" width="11.7109375" customWidth="1"/>
    <col min="14854" max="14855" width="8.7109375" customWidth="1"/>
    <col min="14856" max="14857" width="14.42578125" customWidth="1"/>
    <col min="14858" max="14859" width="8.7109375" customWidth="1"/>
    <col min="14860" max="14860" width="12" customWidth="1"/>
    <col min="14861" max="14861" width="11" customWidth="1"/>
    <col min="14862" max="14862" width="12.28515625" customWidth="1"/>
    <col min="14863" max="14863" width="12.85546875" customWidth="1"/>
    <col min="14864" max="14864" width="14.28515625" customWidth="1"/>
    <col min="15105" max="15105" width="12.28515625" customWidth="1"/>
    <col min="15107" max="15107" width="13.85546875" customWidth="1"/>
    <col min="15108" max="15108" width="8.7109375" customWidth="1"/>
    <col min="15109" max="15109" width="11.7109375" customWidth="1"/>
    <col min="15110" max="15111" width="8.7109375" customWidth="1"/>
    <col min="15112" max="15113" width="14.42578125" customWidth="1"/>
    <col min="15114" max="15115" width="8.7109375" customWidth="1"/>
    <col min="15116" max="15116" width="12" customWidth="1"/>
    <col min="15117" max="15117" width="11" customWidth="1"/>
    <col min="15118" max="15118" width="12.28515625" customWidth="1"/>
    <col min="15119" max="15119" width="12.85546875" customWidth="1"/>
    <col min="15120" max="15120" width="14.28515625" customWidth="1"/>
    <col min="15361" max="15361" width="12.28515625" customWidth="1"/>
    <col min="15363" max="15363" width="13.85546875" customWidth="1"/>
    <col min="15364" max="15364" width="8.7109375" customWidth="1"/>
    <col min="15365" max="15365" width="11.7109375" customWidth="1"/>
    <col min="15366" max="15367" width="8.7109375" customWidth="1"/>
    <col min="15368" max="15369" width="14.42578125" customWidth="1"/>
    <col min="15370" max="15371" width="8.7109375" customWidth="1"/>
    <col min="15372" max="15372" width="12" customWidth="1"/>
    <col min="15373" max="15373" width="11" customWidth="1"/>
    <col min="15374" max="15374" width="12.28515625" customWidth="1"/>
    <col min="15375" max="15375" width="12.85546875" customWidth="1"/>
    <col min="15376" max="15376" width="14.28515625" customWidth="1"/>
    <col min="15617" max="15617" width="12.28515625" customWidth="1"/>
    <col min="15619" max="15619" width="13.85546875" customWidth="1"/>
    <col min="15620" max="15620" width="8.7109375" customWidth="1"/>
    <col min="15621" max="15621" width="11.7109375" customWidth="1"/>
    <col min="15622" max="15623" width="8.7109375" customWidth="1"/>
    <col min="15624" max="15625" width="14.42578125" customWidth="1"/>
    <col min="15626" max="15627" width="8.7109375" customWidth="1"/>
    <col min="15628" max="15628" width="12" customWidth="1"/>
    <col min="15629" max="15629" width="11" customWidth="1"/>
    <col min="15630" max="15630" width="12.28515625" customWidth="1"/>
    <col min="15631" max="15631" width="12.85546875" customWidth="1"/>
    <col min="15632" max="15632" width="14.28515625" customWidth="1"/>
    <col min="15873" max="15873" width="12.28515625" customWidth="1"/>
    <col min="15875" max="15875" width="13.85546875" customWidth="1"/>
    <col min="15876" max="15876" width="8.7109375" customWidth="1"/>
    <col min="15877" max="15877" width="11.7109375" customWidth="1"/>
    <col min="15878" max="15879" width="8.7109375" customWidth="1"/>
    <col min="15880" max="15881" width="14.42578125" customWidth="1"/>
    <col min="15882" max="15883" width="8.7109375" customWidth="1"/>
    <col min="15884" max="15884" width="12" customWidth="1"/>
    <col min="15885" max="15885" width="11" customWidth="1"/>
    <col min="15886" max="15886" width="12.28515625" customWidth="1"/>
    <col min="15887" max="15887" width="12.85546875" customWidth="1"/>
    <col min="15888" max="15888" width="14.28515625" customWidth="1"/>
    <col min="16129" max="16129" width="12.28515625" customWidth="1"/>
    <col min="16131" max="16131" width="13.85546875" customWidth="1"/>
    <col min="16132" max="16132" width="8.7109375" customWidth="1"/>
    <col min="16133" max="16133" width="11.7109375" customWidth="1"/>
    <col min="16134" max="16135" width="8.7109375" customWidth="1"/>
    <col min="16136" max="16137" width="14.42578125" customWidth="1"/>
    <col min="16138" max="16139" width="8.7109375" customWidth="1"/>
    <col min="16140" max="16140" width="12" customWidth="1"/>
    <col min="16141" max="16141" width="11" customWidth="1"/>
    <col min="16142" max="16142" width="12.28515625" customWidth="1"/>
    <col min="16143" max="16143" width="12.85546875" customWidth="1"/>
    <col min="16144" max="16144" width="14.28515625" customWidth="1"/>
  </cols>
  <sheetData>
    <row r="1" spans="1:15" ht="30.75" customHeight="1">
      <c r="A1" s="249" t="s">
        <v>1</v>
      </c>
      <c r="B1" s="243" t="s">
        <v>8</v>
      </c>
      <c r="C1" s="250" t="s">
        <v>951</v>
      </c>
      <c r="D1" s="250" t="s">
        <v>611</v>
      </c>
      <c r="E1" s="250" t="s">
        <v>919</v>
      </c>
      <c r="F1" s="250" t="s">
        <v>613</v>
      </c>
      <c r="G1" s="250" t="s">
        <v>611</v>
      </c>
      <c r="H1" s="250" t="s">
        <v>614</v>
      </c>
      <c r="I1" s="250" t="s">
        <v>615</v>
      </c>
      <c r="J1" s="250" t="s">
        <v>613</v>
      </c>
      <c r="K1" s="250" t="s">
        <v>611</v>
      </c>
      <c r="L1" s="250" t="s">
        <v>616</v>
      </c>
      <c r="M1" s="655" t="s">
        <v>617</v>
      </c>
      <c r="N1" s="250" t="s">
        <v>7</v>
      </c>
      <c r="O1" s="250" t="s">
        <v>920</v>
      </c>
    </row>
    <row r="2" spans="1:15">
      <c r="A2" s="152" t="s">
        <v>13</v>
      </c>
      <c r="B2" s="11" t="s">
        <v>41</v>
      </c>
      <c r="C2" s="45" t="s">
        <v>285</v>
      </c>
      <c r="D2" s="11">
        <v>1.1000000000000001</v>
      </c>
      <c r="E2" s="23">
        <v>6.14</v>
      </c>
      <c r="F2" s="12">
        <v>0.45</v>
      </c>
      <c r="G2" s="23">
        <v>0.8</v>
      </c>
      <c r="H2" s="23">
        <v>1.63</v>
      </c>
      <c r="I2" s="23">
        <v>1.1000000000000001</v>
      </c>
      <c r="J2" s="12">
        <v>0.45</v>
      </c>
      <c r="K2" s="11">
        <v>1.43</v>
      </c>
      <c r="L2" s="623">
        <v>2.2999999999999998</v>
      </c>
      <c r="M2" s="656">
        <f>(D2*(E2-E2*F2)+G2*((H2+I2)-(H2+I2)*J2)/2+K2*L2)*1.015</f>
        <v>7.7183644999999999</v>
      </c>
      <c r="N2" s="152" t="s">
        <v>14</v>
      </c>
      <c r="O2" s="251">
        <v>45689</v>
      </c>
    </row>
    <row r="3" spans="1:15">
      <c r="A3" s="152" t="str">
        <f>A2</f>
        <v>rura PP</v>
      </c>
      <c r="B3" s="11" t="str">
        <f>B2</f>
        <v>PN16</v>
      </c>
      <c r="C3" s="252" t="s">
        <v>21</v>
      </c>
      <c r="D3" s="11">
        <v>1.1000000000000001</v>
      </c>
      <c r="E3" s="23">
        <v>6.14</v>
      </c>
      <c r="F3" s="12">
        <v>0.45</v>
      </c>
      <c r="G3" s="23">
        <v>0.8</v>
      </c>
      <c r="H3" s="23">
        <v>1.63</v>
      </c>
      <c r="I3" s="23">
        <v>1.1000000000000001</v>
      </c>
      <c r="J3" s="12">
        <v>0.45</v>
      </c>
      <c r="K3" s="11">
        <v>1.43</v>
      </c>
      <c r="L3" s="623">
        <v>2.2999999999999998</v>
      </c>
      <c r="M3" s="656">
        <f t="shared" ref="M3:M11" si="0">(D3*(E3-E3*F3)+G3*((H3+I3)-(H3+I3)*J3)/2+K3*L3)*1.015</f>
        <v>7.7183644999999999</v>
      </c>
      <c r="N3" s="152" t="s">
        <v>14</v>
      </c>
      <c r="O3" s="234">
        <v>45689</v>
      </c>
    </row>
    <row r="4" spans="1:15">
      <c r="A4" s="152" t="str">
        <f t="shared" ref="A4:B11" si="1">A3</f>
        <v>rura PP</v>
      </c>
      <c r="B4" s="11" t="str">
        <f t="shared" si="1"/>
        <v>PN16</v>
      </c>
      <c r="C4" s="252" t="s">
        <v>23</v>
      </c>
      <c r="D4" s="11">
        <v>1.08</v>
      </c>
      <c r="E4" s="23">
        <v>10.67</v>
      </c>
      <c r="F4" s="12">
        <v>0.45</v>
      </c>
      <c r="G4" s="23">
        <v>0.8</v>
      </c>
      <c r="H4" s="23">
        <v>2.35</v>
      </c>
      <c r="I4" s="23">
        <v>1.57</v>
      </c>
      <c r="J4" s="12">
        <v>0.45</v>
      </c>
      <c r="K4" s="11">
        <v>1.25</v>
      </c>
      <c r="L4" s="623">
        <v>2.76</v>
      </c>
      <c r="M4" s="656">
        <f t="shared" si="0"/>
        <v>10.8101357</v>
      </c>
      <c r="N4" s="152" t="s">
        <v>14</v>
      </c>
      <c r="O4" s="234">
        <v>45689</v>
      </c>
    </row>
    <row r="5" spans="1:15">
      <c r="A5" s="152" t="str">
        <f t="shared" si="1"/>
        <v>rura PP</v>
      </c>
      <c r="B5" s="11" t="str">
        <f t="shared" si="1"/>
        <v>PN16</v>
      </c>
      <c r="C5" s="252" t="s">
        <v>25</v>
      </c>
      <c r="D5" s="11">
        <v>1.08</v>
      </c>
      <c r="E5" s="23">
        <v>16.59</v>
      </c>
      <c r="F5" s="12">
        <v>0.45</v>
      </c>
      <c r="G5" s="23">
        <v>0.7</v>
      </c>
      <c r="H5" s="23">
        <v>4.5999999999999996</v>
      </c>
      <c r="I5" s="23">
        <v>2.67</v>
      </c>
      <c r="J5" s="12">
        <v>0.45</v>
      </c>
      <c r="K5" s="11">
        <v>1.1100000000000001</v>
      </c>
      <c r="L5" s="623">
        <v>3.7374999999999998</v>
      </c>
      <c r="M5" s="656">
        <f t="shared" si="0"/>
        <v>15.633598399999997</v>
      </c>
      <c r="N5" s="152" t="s">
        <v>14</v>
      </c>
      <c r="O5" s="234">
        <v>45689</v>
      </c>
    </row>
    <row r="6" spans="1:15">
      <c r="A6" s="152" t="str">
        <f t="shared" si="1"/>
        <v>rura PP</v>
      </c>
      <c r="B6" s="11" t="str">
        <f t="shared" si="1"/>
        <v>PN16</v>
      </c>
      <c r="C6" s="252" t="s">
        <v>27</v>
      </c>
      <c r="D6" s="11">
        <v>1.08</v>
      </c>
      <c r="E6" s="23">
        <v>26.31</v>
      </c>
      <c r="F6" s="12">
        <v>0.45</v>
      </c>
      <c r="G6" s="23">
        <v>0.6</v>
      </c>
      <c r="H6" s="23">
        <v>7</v>
      </c>
      <c r="I6" s="23">
        <v>5.3</v>
      </c>
      <c r="J6" s="12">
        <v>0.45</v>
      </c>
      <c r="K6" s="11">
        <v>1</v>
      </c>
      <c r="L6" s="623">
        <v>4.6229999999999993</v>
      </c>
      <c r="M6" s="656">
        <f t="shared" si="0"/>
        <v>22.614849599999996</v>
      </c>
      <c r="N6" s="152" t="s">
        <v>14</v>
      </c>
      <c r="O6" s="234">
        <v>45689</v>
      </c>
    </row>
    <row r="7" spans="1:15">
      <c r="A7" s="152" t="str">
        <f t="shared" si="1"/>
        <v>rura PP</v>
      </c>
      <c r="B7" s="11" t="str">
        <f t="shared" si="1"/>
        <v>PN16</v>
      </c>
      <c r="C7" s="252" t="s">
        <v>29</v>
      </c>
      <c r="D7" s="11">
        <v>1.08</v>
      </c>
      <c r="E7" s="23">
        <v>44.73</v>
      </c>
      <c r="F7" s="12">
        <v>0.45</v>
      </c>
      <c r="G7" s="23">
        <v>0.6</v>
      </c>
      <c r="H7" s="23">
        <v>15.85</v>
      </c>
      <c r="I7" s="23">
        <v>10.69</v>
      </c>
      <c r="J7" s="12">
        <v>0.45</v>
      </c>
      <c r="K7" s="11">
        <v>0.9</v>
      </c>
      <c r="L7" s="623">
        <v>5.6004999999999994</v>
      </c>
      <c r="M7" s="656">
        <f t="shared" si="0"/>
        <v>36.529007549999996</v>
      </c>
      <c r="N7" s="152" t="s">
        <v>14</v>
      </c>
      <c r="O7" s="234">
        <v>45689</v>
      </c>
    </row>
    <row r="8" spans="1:15">
      <c r="A8" s="152" t="str">
        <f t="shared" si="1"/>
        <v>rura PP</v>
      </c>
      <c r="B8" s="11" t="str">
        <f t="shared" si="1"/>
        <v>PN16</v>
      </c>
      <c r="C8" s="252" t="s">
        <v>376</v>
      </c>
      <c r="D8" s="11">
        <v>1.08</v>
      </c>
      <c r="E8" s="23">
        <v>67.150000000000006</v>
      </c>
      <c r="F8" s="12">
        <v>0.45</v>
      </c>
      <c r="G8" s="23">
        <v>0.6</v>
      </c>
      <c r="H8" s="23">
        <v>25.82</v>
      </c>
      <c r="I8" s="23">
        <v>19.690000000000001</v>
      </c>
      <c r="J8" s="12">
        <v>0.45</v>
      </c>
      <c r="K8" s="11">
        <v>0.8</v>
      </c>
      <c r="L8" s="623">
        <v>7.6475</v>
      </c>
      <c r="M8" s="656">
        <f t="shared" si="0"/>
        <v>54.316963750000006</v>
      </c>
      <c r="N8" s="152" t="s">
        <v>14</v>
      </c>
      <c r="O8" s="234">
        <v>45689</v>
      </c>
    </row>
    <row r="9" spans="1:15">
      <c r="A9" s="152" t="str">
        <f t="shared" si="1"/>
        <v>rura PP</v>
      </c>
      <c r="B9" s="11" t="str">
        <f t="shared" si="1"/>
        <v>PN16</v>
      </c>
      <c r="C9" s="252" t="s">
        <v>357</v>
      </c>
      <c r="D9" s="11">
        <v>1.06</v>
      </c>
      <c r="E9" s="23">
        <v>96.15</v>
      </c>
      <c r="F9" s="12">
        <v>0.45</v>
      </c>
      <c r="G9" s="23">
        <v>0.5</v>
      </c>
      <c r="H9" s="23">
        <v>41.72</v>
      </c>
      <c r="I9" s="23">
        <v>36.76</v>
      </c>
      <c r="J9" s="12">
        <v>0.45</v>
      </c>
      <c r="K9" s="11">
        <v>0.7</v>
      </c>
      <c r="L9" s="623">
        <v>8.8779999999999983</v>
      </c>
      <c r="M9" s="656">
        <f t="shared" si="0"/>
        <v>74.156965749999998</v>
      </c>
      <c r="N9" s="152" t="s">
        <v>14</v>
      </c>
      <c r="O9" s="234">
        <v>45689</v>
      </c>
    </row>
    <row r="10" spans="1:15">
      <c r="A10" s="152" t="str">
        <f t="shared" si="1"/>
        <v>rura PP</v>
      </c>
      <c r="B10" s="11" t="str">
        <f t="shared" si="1"/>
        <v>PN16</v>
      </c>
      <c r="C10" s="252" t="s">
        <v>377</v>
      </c>
      <c r="D10" s="11">
        <v>1.06</v>
      </c>
      <c r="E10" s="23">
        <v>141.41999999999999</v>
      </c>
      <c r="F10" s="12">
        <v>0.45</v>
      </c>
      <c r="G10" s="23">
        <v>0.4</v>
      </c>
      <c r="H10" s="23">
        <v>91.69</v>
      </c>
      <c r="I10" s="23">
        <v>68.78</v>
      </c>
      <c r="J10" s="12">
        <v>0.45</v>
      </c>
      <c r="K10" s="11">
        <v>0.6</v>
      </c>
      <c r="L10" s="623">
        <v>10.419</v>
      </c>
      <c r="M10" s="656">
        <f t="shared" si="0"/>
        <v>107.94622439999999</v>
      </c>
      <c r="N10" s="152" t="s">
        <v>14</v>
      </c>
      <c r="O10" s="234">
        <v>45689</v>
      </c>
    </row>
    <row r="11" spans="1:15">
      <c r="A11" s="152" t="str">
        <f t="shared" si="1"/>
        <v>rura PP</v>
      </c>
      <c r="B11" s="11" t="str">
        <f t="shared" si="1"/>
        <v>PN16</v>
      </c>
      <c r="C11" s="252" t="s">
        <v>326</v>
      </c>
      <c r="D11" s="11">
        <v>1.06</v>
      </c>
      <c r="E11" s="23">
        <v>216.2</v>
      </c>
      <c r="F11" s="12">
        <v>0.45</v>
      </c>
      <c r="G11" s="23">
        <v>0.4</v>
      </c>
      <c r="H11" s="23">
        <v>143.65</v>
      </c>
      <c r="I11" s="23">
        <v>118.66</v>
      </c>
      <c r="J11" s="12">
        <v>0.45</v>
      </c>
      <c r="K11" s="11">
        <v>0.6</v>
      </c>
      <c r="L11" s="623">
        <v>13.742499999999998</v>
      </c>
      <c r="M11" s="656">
        <f t="shared" si="0"/>
        <v>165.591363</v>
      </c>
      <c r="N11" s="152" t="s">
        <v>14</v>
      </c>
      <c r="O11" s="234">
        <v>45689</v>
      </c>
    </row>
    <row r="12" spans="1:15">
      <c r="F12" s="6"/>
      <c r="J12" s="6"/>
      <c r="L12" s="642"/>
      <c r="M12" s="657"/>
    </row>
    <row r="13" spans="1:15">
      <c r="C13" s="188"/>
      <c r="F13" s="6"/>
      <c r="J13" s="6"/>
      <c r="L13" s="642"/>
      <c r="M13" s="657"/>
    </row>
    <row r="14" spans="1:15" ht="45">
      <c r="A14" s="249" t="s">
        <v>1</v>
      </c>
      <c r="B14" s="243" t="s">
        <v>8</v>
      </c>
      <c r="C14" s="250" t="s">
        <v>951</v>
      </c>
      <c r="D14" s="250" t="s">
        <v>611</v>
      </c>
      <c r="E14" s="250" t="s">
        <v>919</v>
      </c>
      <c r="F14" s="250" t="s">
        <v>613</v>
      </c>
      <c r="G14" s="250" t="s">
        <v>611</v>
      </c>
      <c r="H14" s="250" t="s">
        <v>614</v>
      </c>
      <c r="I14" s="250" t="s">
        <v>615</v>
      </c>
      <c r="J14" s="250" t="s">
        <v>613</v>
      </c>
      <c r="K14" s="250" t="s">
        <v>611</v>
      </c>
      <c r="L14" s="250" t="s">
        <v>616</v>
      </c>
      <c r="M14" s="655" t="s">
        <v>617</v>
      </c>
      <c r="N14" s="152" t="s">
        <v>14</v>
      </c>
      <c r="O14" s="234">
        <f>O2</f>
        <v>45689</v>
      </c>
    </row>
    <row r="15" spans="1:15">
      <c r="A15" s="152" t="s">
        <v>13</v>
      </c>
      <c r="B15" s="11" t="s">
        <v>15</v>
      </c>
      <c r="C15" s="252" t="s">
        <v>285</v>
      </c>
      <c r="D15" s="11">
        <v>1.1000000000000001</v>
      </c>
      <c r="E15" s="23">
        <v>5.63</v>
      </c>
      <c r="F15" s="24">
        <v>0.45</v>
      </c>
      <c r="G15" s="23">
        <v>0.8</v>
      </c>
      <c r="H15" s="23">
        <v>1.65</v>
      </c>
      <c r="I15" s="23">
        <v>1.62</v>
      </c>
      <c r="J15" s="12">
        <v>0.45</v>
      </c>
      <c r="K15" s="11">
        <v>1.43</v>
      </c>
      <c r="L15" s="623">
        <v>2.0699999999999998</v>
      </c>
      <c r="M15" s="656">
        <f t="shared" ref="M15:M24" si="2">(D15*(E15-E15*F15)+G15*((H15+I15)-(H15+I15)*J15)/2+K15*L15)*1.015</f>
        <v>7.1919347499999997</v>
      </c>
      <c r="N15" s="152" t="s">
        <v>14</v>
      </c>
      <c r="O15" s="234">
        <f t="shared" ref="O15:O23" si="3">O3</f>
        <v>45689</v>
      </c>
    </row>
    <row r="16" spans="1:15">
      <c r="A16" s="152" t="s">
        <v>13</v>
      </c>
      <c r="B16" s="11" t="s">
        <v>15</v>
      </c>
      <c r="C16" s="252" t="s">
        <v>21</v>
      </c>
      <c r="D16" s="11">
        <v>1.1000000000000001</v>
      </c>
      <c r="E16" s="23">
        <v>6.77</v>
      </c>
      <c r="F16" s="24">
        <f>F15</f>
        <v>0.45</v>
      </c>
      <c r="G16" s="23">
        <v>0.8</v>
      </c>
      <c r="H16" s="23">
        <v>1.63</v>
      </c>
      <c r="I16" s="23">
        <v>1.1000000000000001</v>
      </c>
      <c r="J16" s="12">
        <f>J15</f>
        <v>0.45</v>
      </c>
      <c r="K16" s="11">
        <v>1.43</v>
      </c>
      <c r="L16" s="623">
        <v>2.2999999999999998</v>
      </c>
      <c r="M16" s="656">
        <f t="shared" si="2"/>
        <v>8.105231749999998</v>
      </c>
      <c r="N16" s="152" t="s">
        <v>14</v>
      </c>
      <c r="O16" s="234">
        <f t="shared" si="3"/>
        <v>45689</v>
      </c>
    </row>
    <row r="17" spans="1:15">
      <c r="A17" s="152" t="s">
        <v>13</v>
      </c>
      <c r="B17" s="11" t="s">
        <v>15</v>
      </c>
      <c r="C17" s="252" t="s">
        <v>23</v>
      </c>
      <c r="D17" s="11">
        <v>1.08</v>
      </c>
      <c r="E17" s="23">
        <v>11.14</v>
      </c>
      <c r="F17" s="24">
        <f t="shared" ref="F17:F24" si="4">F16</f>
        <v>0.45</v>
      </c>
      <c r="G17" s="23">
        <v>0.8</v>
      </c>
      <c r="H17" s="23">
        <v>2.35</v>
      </c>
      <c r="I17" s="23">
        <v>1.57</v>
      </c>
      <c r="J17" s="12">
        <f t="shared" ref="J17:J24" si="5">J16</f>
        <v>0.45</v>
      </c>
      <c r="K17" s="11">
        <v>1.25</v>
      </c>
      <c r="L17" s="623">
        <v>2.76</v>
      </c>
      <c r="M17" s="656">
        <f t="shared" si="2"/>
        <v>11.093503399999999</v>
      </c>
      <c r="N17" s="152" t="s">
        <v>14</v>
      </c>
      <c r="O17" s="234">
        <f t="shared" si="3"/>
        <v>45689</v>
      </c>
    </row>
    <row r="18" spans="1:15">
      <c r="A18" s="152" t="s">
        <v>13</v>
      </c>
      <c r="B18" s="11" t="s">
        <v>15</v>
      </c>
      <c r="C18" s="252" t="s">
        <v>25</v>
      </c>
      <c r="D18" s="11">
        <v>1.08</v>
      </c>
      <c r="E18" s="23">
        <v>17.96</v>
      </c>
      <c r="F18" s="24">
        <f t="shared" si="4"/>
        <v>0.45</v>
      </c>
      <c r="G18" s="23">
        <v>0.7</v>
      </c>
      <c r="H18" s="23">
        <v>4.5999999999999996</v>
      </c>
      <c r="I18" s="23">
        <v>2.67</v>
      </c>
      <c r="J18" s="12">
        <f t="shared" si="5"/>
        <v>0.45</v>
      </c>
      <c r="K18" s="11">
        <v>1.1100000000000001</v>
      </c>
      <c r="L18" s="623">
        <v>3.7374999999999998</v>
      </c>
      <c r="M18" s="656">
        <f t="shared" si="2"/>
        <v>16.459585099999998</v>
      </c>
      <c r="N18" s="152" t="s">
        <v>14</v>
      </c>
      <c r="O18" s="234">
        <f t="shared" si="3"/>
        <v>45689</v>
      </c>
    </row>
    <row r="19" spans="1:15">
      <c r="A19" s="152" t="s">
        <v>13</v>
      </c>
      <c r="B19" s="11" t="s">
        <v>15</v>
      </c>
      <c r="C19" s="252" t="s">
        <v>27</v>
      </c>
      <c r="D19" s="11">
        <v>1.08</v>
      </c>
      <c r="E19" s="23">
        <v>31.95</v>
      </c>
      <c r="F19" s="24">
        <f t="shared" si="4"/>
        <v>0.45</v>
      </c>
      <c r="G19" s="23">
        <v>0.6</v>
      </c>
      <c r="H19" s="23">
        <v>7</v>
      </c>
      <c r="I19" s="23">
        <v>5.3</v>
      </c>
      <c r="J19" s="12">
        <f t="shared" si="5"/>
        <v>0.45</v>
      </c>
      <c r="K19" s="11">
        <v>1</v>
      </c>
      <c r="L19" s="623">
        <v>4.6229999999999993</v>
      </c>
      <c r="M19" s="656">
        <f t="shared" si="2"/>
        <v>26.015262</v>
      </c>
      <c r="N19" s="152" t="s">
        <v>14</v>
      </c>
      <c r="O19" s="234">
        <f t="shared" si="3"/>
        <v>45689</v>
      </c>
    </row>
    <row r="20" spans="1:15">
      <c r="A20" s="152" t="s">
        <v>13</v>
      </c>
      <c r="B20" s="11" t="s">
        <v>15</v>
      </c>
      <c r="C20" s="252" t="s">
        <v>29</v>
      </c>
      <c r="D20" s="11">
        <v>1.08</v>
      </c>
      <c r="E20" s="23">
        <v>49.72</v>
      </c>
      <c r="F20" s="24">
        <f t="shared" si="4"/>
        <v>0.45</v>
      </c>
      <c r="G20" s="23">
        <v>0.6</v>
      </c>
      <c r="H20" s="23">
        <v>15.85</v>
      </c>
      <c r="I20" s="23">
        <v>10.69</v>
      </c>
      <c r="J20" s="12">
        <f t="shared" si="5"/>
        <v>0.45</v>
      </c>
      <c r="K20" s="11">
        <v>0.9</v>
      </c>
      <c r="L20" s="623">
        <v>5.6004999999999994</v>
      </c>
      <c r="M20" s="656">
        <f t="shared" si="2"/>
        <v>39.537528449999996</v>
      </c>
      <c r="N20" s="152" t="s">
        <v>14</v>
      </c>
      <c r="O20" s="234">
        <f t="shared" si="3"/>
        <v>45689</v>
      </c>
    </row>
    <row r="21" spans="1:15">
      <c r="A21" s="152" t="s">
        <v>13</v>
      </c>
      <c r="B21" s="11" t="s">
        <v>15</v>
      </c>
      <c r="C21" s="252" t="s">
        <v>376</v>
      </c>
      <c r="D21" s="11">
        <v>1.08</v>
      </c>
      <c r="E21" s="23">
        <v>76.52</v>
      </c>
      <c r="F21" s="24">
        <f t="shared" si="4"/>
        <v>0.45</v>
      </c>
      <c r="G21" s="23">
        <v>0.6</v>
      </c>
      <c r="H21" s="23">
        <v>25.82</v>
      </c>
      <c r="I21" s="23">
        <v>19.690000000000001</v>
      </c>
      <c r="J21" s="12">
        <f t="shared" si="5"/>
        <v>0.45</v>
      </c>
      <c r="K21" s="11">
        <v>0.8</v>
      </c>
      <c r="L21" s="623">
        <v>7.6475</v>
      </c>
      <c r="M21" s="656">
        <f t="shared" si="2"/>
        <v>59.966230449999998</v>
      </c>
      <c r="N21" s="152" t="s">
        <v>14</v>
      </c>
      <c r="O21" s="234">
        <f t="shared" si="3"/>
        <v>45689</v>
      </c>
    </row>
    <row r="22" spans="1:15">
      <c r="A22" s="152" t="s">
        <v>13</v>
      </c>
      <c r="B22" s="11" t="s">
        <v>15</v>
      </c>
      <c r="C22" s="252" t="s">
        <v>357</v>
      </c>
      <c r="D22" s="11">
        <v>1.06</v>
      </c>
      <c r="E22" s="23">
        <v>108.77</v>
      </c>
      <c r="F22" s="24">
        <f t="shared" si="4"/>
        <v>0.45</v>
      </c>
      <c r="G22" s="23">
        <v>0.5</v>
      </c>
      <c r="H22" s="23">
        <v>41.72</v>
      </c>
      <c r="I22" s="23">
        <v>36.76</v>
      </c>
      <c r="J22" s="12">
        <f t="shared" si="5"/>
        <v>0.45</v>
      </c>
      <c r="K22" s="11">
        <v>0.7</v>
      </c>
      <c r="L22" s="623">
        <v>8.8779999999999983</v>
      </c>
      <c r="M22" s="656">
        <f t="shared" si="2"/>
        <v>81.624787649999988</v>
      </c>
      <c r="N22" s="152" t="s">
        <v>14</v>
      </c>
      <c r="O22" s="234">
        <f t="shared" si="3"/>
        <v>45689</v>
      </c>
    </row>
    <row r="23" spans="1:15">
      <c r="A23" s="152" t="s">
        <v>13</v>
      </c>
      <c r="B23" s="11" t="s">
        <v>15</v>
      </c>
      <c r="C23" s="252" t="s">
        <v>377</v>
      </c>
      <c r="D23" s="11">
        <v>1.06</v>
      </c>
      <c r="E23" s="23">
        <v>159.88999999999999</v>
      </c>
      <c r="F23" s="24">
        <f t="shared" si="4"/>
        <v>0.45</v>
      </c>
      <c r="G23" s="23">
        <v>0.4</v>
      </c>
      <c r="H23" s="23">
        <v>91.69</v>
      </c>
      <c r="I23" s="23">
        <v>68.78</v>
      </c>
      <c r="J23" s="12">
        <f t="shared" si="5"/>
        <v>0.45</v>
      </c>
      <c r="K23" s="11">
        <v>0.6</v>
      </c>
      <c r="L23" s="623">
        <v>10.419</v>
      </c>
      <c r="M23" s="656">
        <f t="shared" si="2"/>
        <v>118.87575455</v>
      </c>
      <c r="N23" s="152" t="s">
        <v>14</v>
      </c>
      <c r="O23" s="234">
        <f t="shared" si="3"/>
        <v>45689</v>
      </c>
    </row>
    <row r="24" spans="1:15">
      <c r="A24" s="152" t="s">
        <v>13</v>
      </c>
      <c r="B24" s="11" t="s">
        <v>15</v>
      </c>
      <c r="C24" s="252" t="s">
        <v>326</v>
      </c>
      <c r="D24" s="11">
        <v>1.06</v>
      </c>
      <c r="E24" s="23">
        <v>242.67</v>
      </c>
      <c r="F24" s="24">
        <f t="shared" si="4"/>
        <v>0.45</v>
      </c>
      <c r="G24" s="23">
        <v>0.4</v>
      </c>
      <c r="H24" s="23">
        <v>143.65</v>
      </c>
      <c r="I24" s="23">
        <v>118.66</v>
      </c>
      <c r="J24" s="12">
        <f t="shared" si="5"/>
        <v>0.45</v>
      </c>
      <c r="K24" s="11">
        <v>0.6</v>
      </c>
      <c r="L24" s="623">
        <v>13.742499999999998</v>
      </c>
      <c r="M24" s="656">
        <f t="shared" si="2"/>
        <v>181.25485314999997</v>
      </c>
      <c r="N24" s="152" t="s">
        <v>14</v>
      </c>
      <c r="O24" s="234">
        <f>O23</f>
        <v>45689</v>
      </c>
    </row>
    <row r="25" spans="1:15">
      <c r="F25" s="6"/>
      <c r="J25" s="6"/>
      <c r="L25" s="642"/>
      <c r="M25" s="657"/>
    </row>
    <row r="26" spans="1:15">
      <c r="C26" s="188" t="s">
        <v>952</v>
      </c>
      <c r="D26" t="s">
        <v>953</v>
      </c>
    </row>
    <row r="27" spans="1:15" ht="45">
      <c r="A27" s="152" t="s">
        <v>39</v>
      </c>
      <c r="B27" s="11" t="s">
        <v>15</v>
      </c>
      <c r="C27" s="250" t="s">
        <v>954</v>
      </c>
      <c r="D27" s="250" t="s">
        <v>611</v>
      </c>
      <c r="E27" s="250" t="s">
        <v>919</v>
      </c>
      <c r="F27" s="250" t="s">
        <v>613</v>
      </c>
      <c r="G27" s="250" t="s">
        <v>611</v>
      </c>
      <c r="H27" s="250" t="s">
        <v>614</v>
      </c>
      <c r="I27" s="250" t="s">
        <v>615</v>
      </c>
      <c r="J27" s="250" t="s">
        <v>613</v>
      </c>
      <c r="K27" s="250" t="s">
        <v>611</v>
      </c>
      <c r="L27" s="250" t="s">
        <v>616</v>
      </c>
      <c r="M27" s="655" t="s">
        <v>617</v>
      </c>
      <c r="N27" s="11" t="s">
        <v>14</v>
      </c>
      <c r="O27" s="11"/>
    </row>
    <row r="28" spans="1:15">
      <c r="A28" s="152" t="s">
        <v>39</v>
      </c>
      <c r="B28" s="11" t="s">
        <v>15</v>
      </c>
      <c r="C28" s="252" t="s">
        <v>955</v>
      </c>
      <c r="D28" s="11">
        <v>1.1000000000000001</v>
      </c>
      <c r="E28" s="23">
        <v>10.62</v>
      </c>
      <c r="F28" s="24">
        <v>0.45</v>
      </c>
      <c r="G28" s="23">
        <v>0.8</v>
      </c>
      <c r="H28" s="23">
        <v>1.65</v>
      </c>
      <c r="I28" s="23">
        <v>1.62</v>
      </c>
      <c r="J28" s="12">
        <v>0.45</v>
      </c>
      <c r="K28" s="11">
        <v>1.43</v>
      </c>
      <c r="L28" s="623">
        <v>2.0699999999999998</v>
      </c>
      <c r="M28" s="656">
        <f t="shared" ref="M28:M37" si="6">(D28*(E28-E28*F28)+G28*((H28+I28)-(H28+I28)*J28)/2+K28*L28)*1.015</f>
        <v>10.256168999999998</v>
      </c>
      <c r="N28" s="11" t="s">
        <v>14</v>
      </c>
      <c r="O28" s="11"/>
    </row>
    <row r="29" spans="1:15">
      <c r="A29" s="152" t="s">
        <v>39</v>
      </c>
      <c r="B29" s="11" t="s">
        <v>15</v>
      </c>
      <c r="C29" s="252" t="s">
        <v>956</v>
      </c>
      <c r="D29" s="11">
        <v>1.1000000000000001</v>
      </c>
      <c r="E29" s="23">
        <v>14.48</v>
      </c>
      <c r="F29" s="24">
        <v>0.45</v>
      </c>
      <c r="G29" s="23">
        <v>0.8</v>
      </c>
      <c r="H29" s="23">
        <v>1.63</v>
      </c>
      <c r="I29" s="23">
        <v>1.1000000000000001</v>
      </c>
      <c r="J29" s="12">
        <v>0.45</v>
      </c>
      <c r="K29" s="11">
        <v>1.43</v>
      </c>
      <c r="L29" s="623">
        <v>2.2999999999999998</v>
      </c>
      <c r="M29" s="656">
        <f t="shared" si="6"/>
        <v>12.839749999999999</v>
      </c>
      <c r="N29" s="11" t="s">
        <v>14</v>
      </c>
      <c r="O29" s="11"/>
    </row>
    <row r="30" spans="1:15">
      <c r="A30" s="152" t="s">
        <v>39</v>
      </c>
      <c r="B30" s="11" t="s">
        <v>15</v>
      </c>
      <c r="C30" s="252" t="s">
        <v>957</v>
      </c>
      <c r="D30" s="11">
        <v>1.08</v>
      </c>
      <c r="E30" s="23">
        <v>22.58</v>
      </c>
      <c r="F30" s="24">
        <f t="shared" ref="F30:F37" si="7">F29</f>
        <v>0.45</v>
      </c>
      <c r="G30" s="23">
        <v>0.8</v>
      </c>
      <c r="H30" s="23">
        <v>2.35</v>
      </c>
      <c r="I30" s="23">
        <v>1.57</v>
      </c>
      <c r="J30" s="12">
        <f t="shared" ref="J30:J37" si="8">J29</f>
        <v>0.45</v>
      </c>
      <c r="K30" s="11">
        <v>1.25</v>
      </c>
      <c r="L30" s="623">
        <v>2.76</v>
      </c>
      <c r="M30" s="656">
        <f t="shared" si="6"/>
        <v>17.990793799999995</v>
      </c>
      <c r="N30" s="11" t="s">
        <v>14</v>
      </c>
      <c r="O30" s="11"/>
    </row>
    <row r="31" spans="1:15">
      <c r="A31" s="152" t="s">
        <v>39</v>
      </c>
      <c r="B31" s="11" t="s">
        <v>15</v>
      </c>
      <c r="C31" s="252" t="s">
        <v>958</v>
      </c>
      <c r="D31" s="11">
        <v>1.08</v>
      </c>
      <c r="E31" s="23">
        <v>32.549999999999997</v>
      </c>
      <c r="F31" s="24">
        <f t="shared" si="7"/>
        <v>0.45</v>
      </c>
      <c r="G31" s="23">
        <v>0.7</v>
      </c>
      <c r="H31" s="23">
        <v>4.5999999999999996</v>
      </c>
      <c r="I31" s="23">
        <v>2.67</v>
      </c>
      <c r="J31" s="12">
        <f t="shared" si="8"/>
        <v>0.45</v>
      </c>
      <c r="K31" s="11">
        <v>1.1100000000000001</v>
      </c>
      <c r="L31" s="623">
        <v>3.7374999999999998</v>
      </c>
      <c r="M31" s="656">
        <f t="shared" si="6"/>
        <v>25.256041999999994</v>
      </c>
      <c r="N31" s="11" t="s">
        <v>14</v>
      </c>
      <c r="O31" s="11"/>
    </row>
    <row r="32" spans="1:15">
      <c r="A32" s="152" t="s">
        <v>39</v>
      </c>
      <c r="B32" s="11" t="s">
        <v>15</v>
      </c>
      <c r="C32" s="252" t="s">
        <v>959</v>
      </c>
      <c r="D32" s="11">
        <v>1.08</v>
      </c>
      <c r="E32" s="23">
        <v>47.19</v>
      </c>
      <c r="F32" s="24">
        <f t="shared" si="7"/>
        <v>0.45</v>
      </c>
      <c r="G32" s="23">
        <v>0.6</v>
      </c>
      <c r="H32" s="23">
        <v>7</v>
      </c>
      <c r="I32" s="23">
        <v>5.3</v>
      </c>
      <c r="J32" s="12">
        <f t="shared" si="8"/>
        <v>0.45</v>
      </c>
      <c r="K32" s="11">
        <v>1</v>
      </c>
      <c r="L32" s="623">
        <v>4.6229999999999993</v>
      </c>
      <c r="M32" s="656">
        <f t="shared" si="6"/>
        <v>35.203610399999995</v>
      </c>
      <c r="N32" s="11" t="s">
        <v>14</v>
      </c>
      <c r="O32" s="11"/>
    </row>
    <row r="33" spans="1:15">
      <c r="A33" s="152" t="s">
        <v>39</v>
      </c>
      <c r="B33" s="11" t="s">
        <v>15</v>
      </c>
      <c r="C33" s="252" t="s">
        <v>960</v>
      </c>
      <c r="D33" s="11">
        <v>1.08</v>
      </c>
      <c r="E33" s="23">
        <v>67.31</v>
      </c>
      <c r="F33" s="24">
        <f t="shared" si="7"/>
        <v>0.45</v>
      </c>
      <c r="G33" s="23">
        <v>0.6</v>
      </c>
      <c r="H33" s="23">
        <v>15.85</v>
      </c>
      <c r="I33" s="23">
        <v>10.69</v>
      </c>
      <c r="J33" s="12">
        <f t="shared" si="8"/>
        <v>0.45</v>
      </c>
      <c r="K33" s="11">
        <v>0.9</v>
      </c>
      <c r="L33" s="623">
        <v>5.6004999999999994</v>
      </c>
      <c r="M33" s="656">
        <f t="shared" si="6"/>
        <v>50.142715349999996</v>
      </c>
      <c r="N33" s="11" t="s">
        <v>14</v>
      </c>
      <c r="O33" s="11"/>
    </row>
    <row r="34" spans="1:15">
      <c r="A34" s="152" t="s">
        <v>39</v>
      </c>
      <c r="B34" s="11" t="s">
        <v>15</v>
      </c>
      <c r="C34" s="252" t="s">
        <v>961</v>
      </c>
      <c r="D34" s="11">
        <v>1.08</v>
      </c>
      <c r="E34" s="23">
        <v>104.83</v>
      </c>
      <c r="F34" s="24">
        <f t="shared" si="7"/>
        <v>0.45</v>
      </c>
      <c r="G34" s="23">
        <v>0.6</v>
      </c>
      <c r="H34" s="23">
        <v>25.82</v>
      </c>
      <c r="I34" s="23">
        <v>19.690000000000001</v>
      </c>
      <c r="J34" s="12">
        <f t="shared" si="8"/>
        <v>0.45</v>
      </c>
      <c r="K34" s="11">
        <v>0.8</v>
      </c>
      <c r="L34" s="623">
        <v>7.6475</v>
      </c>
      <c r="M34" s="656">
        <f t="shared" si="6"/>
        <v>77.034612549999991</v>
      </c>
      <c r="N34" s="11" t="s">
        <v>14</v>
      </c>
      <c r="O34" s="11"/>
    </row>
    <row r="35" spans="1:15">
      <c r="A35" s="152" t="s">
        <v>39</v>
      </c>
      <c r="B35" s="11" t="s">
        <v>15</v>
      </c>
      <c r="C35" s="252" t="s">
        <v>962</v>
      </c>
      <c r="D35" s="11">
        <v>1.06</v>
      </c>
      <c r="E35" s="23">
        <v>155.34</v>
      </c>
      <c r="F35" s="24">
        <f t="shared" si="7"/>
        <v>0.45</v>
      </c>
      <c r="G35" s="23">
        <v>0.5</v>
      </c>
      <c r="H35" s="23">
        <v>41.72</v>
      </c>
      <c r="I35" s="23">
        <v>36.76</v>
      </c>
      <c r="J35" s="12">
        <f t="shared" si="8"/>
        <v>0.45</v>
      </c>
      <c r="K35" s="11">
        <v>0.7</v>
      </c>
      <c r="L35" s="623">
        <v>8.8779999999999983</v>
      </c>
      <c r="M35" s="656">
        <f t="shared" si="6"/>
        <v>109.18235229999999</v>
      </c>
      <c r="N35" s="11" t="s">
        <v>14</v>
      </c>
      <c r="O35" s="11"/>
    </row>
    <row r="36" spans="1:15">
      <c r="A36" s="152" t="s">
        <v>39</v>
      </c>
      <c r="B36" s="11" t="s">
        <v>15</v>
      </c>
      <c r="C36" s="252" t="s">
        <v>963</v>
      </c>
      <c r="D36" s="11">
        <v>1.06</v>
      </c>
      <c r="E36" s="23">
        <v>276.07</v>
      </c>
      <c r="F36" s="24">
        <f t="shared" si="7"/>
        <v>0.45</v>
      </c>
      <c r="G36" s="23">
        <v>0.4</v>
      </c>
      <c r="H36" s="23">
        <v>91.69</v>
      </c>
      <c r="I36" s="23">
        <v>68.78</v>
      </c>
      <c r="J36" s="12">
        <f t="shared" si="8"/>
        <v>0.45</v>
      </c>
      <c r="K36" s="11">
        <v>0.6</v>
      </c>
      <c r="L36" s="623">
        <v>10.419</v>
      </c>
      <c r="M36" s="656">
        <f t="shared" si="6"/>
        <v>187.62468865</v>
      </c>
      <c r="N36" s="11" t="s">
        <v>14</v>
      </c>
      <c r="O36" s="11"/>
    </row>
    <row r="37" spans="1:15">
      <c r="A37" s="152" t="s">
        <v>39</v>
      </c>
      <c r="B37" s="11" t="s">
        <v>15</v>
      </c>
      <c r="C37" s="252" t="s">
        <v>964</v>
      </c>
      <c r="D37" s="11">
        <v>1.06</v>
      </c>
      <c r="E37" s="23">
        <v>440.33</v>
      </c>
      <c r="F37" s="24">
        <f t="shared" si="7"/>
        <v>0.45</v>
      </c>
      <c r="G37" s="23">
        <v>0.4</v>
      </c>
      <c r="H37" s="23">
        <v>143.65</v>
      </c>
      <c r="I37" s="23">
        <v>118.66</v>
      </c>
      <c r="J37" s="12">
        <f t="shared" si="8"/>
        <v>0.45</v>
      </c>
      <c r="K37" s="11">
        <v>0.6</v>
      </c>
      <c r="L37" s="623">
        <v>13.742499999999998</v>
      </c>
      <c r="M37" s="656">
        <f t="shared" si="6"/>
        <v>298.21916985000001</v>
      </c>
      <c r="N37" s="11" t="s">
        <v>14</v>
      </c>
      <c r="O37" s="11"/>
    </row>
    <row r="39" spans="1:15">
      <c r="C39" s="253"/>
    </row>
    <row r="40" spans="1:15" ht="41.25" customHeight="1">
      <c r="A40" s="152" t="s">
        <v>965</v>
      </c>
      <c r="B40" s="11" t="s">
        <v>41</v>
      </c>
      <c r="C40" s="250" t="s">
        <v>966</v>
      </c>
      <c r="D40" s="250" t="s">
        <v>611</v>
      </c>
      <c r="E40" s="250" t="s">
        <v>919</v>
      </c>
      <c r="F40" s="250" t="s">
        <v>613</v>
      </c>
      <c r="G40" s="250" t="s">
        <v>611</v>
      </c>
      <c r="H40" s="250" t="s">
        <v>614</v>
      </c>
      <c r="I40" s="250" t="s">
        <v>615</v>
      </c>
      <c r="J40" s="250" t="s">
        <v>613</v>
      </c>
      <c r="K40" s="250" t="s">
        <v>611</v>
      </c>
      <c r="L40" s="250" t="s">
        <v>616</v>
      </c>
      <c r="M40" s="655" t="s">
        <v>617</v>
      </c>
      <c r="N40" s="11" t="s">
        <v>14</v>
      </c>
      <c r="O40" s="11"/>
    </row>
    <row r="41" spans="1:15">
      <c r="A41" s="152" t="s">
        <v>965</v>
      </c>
      <c r="B41" s="11" t="s">
        <v>41</v>
      </c>
      <c r="C41" s="252" t="s">
        <v>956</v>
      </c>
      <c r="D41" s="11">
        <v>1.1000000000000001</v>
      </c>
      <c r="E41" s="23">
        <v>12.06</v>
      </c>
      <c r="F41" s="24">
        <v>0.45</v>
      </c>
      <c r="G41" s="23">
        <v>0.8</v>
      </c>
      <c r="H41" s="23">
        <v>1.63</v>
      </c>
      <c r="I41" s="23">
        <v>1.1000000000000001</v>
      </c>
      <c r="J41" s="12">
        <v>0.45</v>
      </c>
      <c r="K41" s="11">
        <v>1.43</v>
      </c>
      <c r="L41" s="623">
        <v>2.2999999999999998</v>
      </c>
      <c r="M41" s="656">
        <f t="shared" ref="M41:M49" si="9">(D41*(E41-E41*F41)+G41*((H41+I41)-(H41+I41)*J41)/2+K41*L41)*1.015</f>
        <v>11.353688499999999</v>
      </c>
      <c r="N41" s="11" t="s">
        <v>14</v>
      </c>
      <c r="O41" s="11"/>
    </row>
    <row r="42" spans="1:15">
      <c r="A42" s="152" t="s">
        <v>965</v>
      </c>
      <c r="B42" s="11" t="s">
        <v>41</v>
      </c>
      <c r="C42" s="252" t="s">
        <v>957</v>
      </c>
      <c r="D42" s="11">
        <v>1.08</v>
      </c>
      <c r="E42" s="23">
        <v>18.73</v>
      </c>
      <c r="F42" s="24">
        <f>F41</f>
        <v>0.45</v>
      </c>
      <c r="G42" s="23">
        <v>0.8</v>
      </c>
      <c r="H42" s="23">
        <v>2.35</v>
      </c>
      <c r="I42" s="23">
        <v>1.57</v>
      </c>
      <c r="J42" s="12">
        <f>J41</f>
        <v>0.45</v>
      </c>
      <c r="K42" s="11">
        <v>1.25</v>
      </c>
      <c r="L42" s="623">
        <v>2.76</v>
      </c>
      <c r="M42" s="656">
        <f t="shared" si="9"/>
        <v>15.669590299999998</v>
      </c>
      <c r="N42" s="11" t="s">
        <v>14</v>
      </c>
      <c r="O42" s="11"/>
    </row>
    <row r="43" spans="1:15">
      <c r="A43" s="152" t="s">
        <v>965</v>
      </c>
      <c r="B43" s="11" t="s">
        <v>41</v>
      </c>
      <c r="C43" s="252" t="s">
        <v>958</v>
      </c>
      <c r="D43" s="11">
        <v>1.08</v>
      </c>
      <c r="E43" s="23">
        <v>26.72</v>
      </c>
      <c r="F43" s="24">
        <f t="shared" ref="F43:F49" si="10">F42</f>
        <v>0.45</v>
      </c>
      <c r="G43" s="23">
        <v>0.7</v>
      </c>
      <c r="H43" s="23">
        <v>4.5999999999999996</v>
      </c>
      <c r="I43" s="23">
        <v>2.67</v>
      </c>
      <c r="J43" s="12">
        <f t="shared" ref="J43:J49" si="11">J42</f>
        <v>0.45</v>
      </c>
      <c r="K43" s="11">
        <v>1.1100000000000001</v>
      </c>
      <c r="L43" s="623">
        <v>3.7374999999999998</v>
      </c>
      <c r="M43" s="656">
        <f t="shared" si="9"/>
        <v>21.741076699999997</v>
      </c>
      <c r="N43" s="11" t="s">
        <v>14</v>
      </c>
      <c r="O43" s="11"/>
    </row>
    <row r="44" spans="1:15">
      <c r="A44" s="152" t="s">
        <v>965</v>
      </c>
      <c r="B44" s="11" t="s">
        <v>41</v>
      </c>
      <c r="C44" s="252" t="s">
        <v>959</v>
      </c>
      <c r="D44" s="11">
        <v>1.08</v>
      </c>
      <c r="E44" s="23">
        <v>39.1</v>
      </c>
      <c r="F44" s="24">
        <f t="shared" si="10"/>
        <v>0.45</v>
      </c>
      <c r="G44" s="23">
        <v>0.6</v>
      </c>
      <c r="H44" s="23">
        <v>7</v>
      </c>
      <c r="I44" s="23">
        <v>5.3</v>
      </c>
      <c r="J44" s="12">
        <f t="shared" si="11"/>
        <v>0.45</v>
      </c>
      <c r="K44" s="11">
        <v>1</v>
      </c>
      <c r="L44" s="623">
        <v>4.6229999999999993</v>
      </c>
      <c r="M44" s="656">
        <f t="shared" si="9"/>
        <v>30.326068499999995</v>
      </c>
      <c r="N44" s="11" t="s">
        <v>14</v>
      </c>
      <c r="O44" s="11"/>
    </row>
    <row r="45" spans="1:15">
      <c r="A45" s="152" t="s">
        <v>965</v>
      </c>
      <c r="B45" s="11" t="s">
        <v>41</v>
      </c>
      <c r="C45" s="252" t="s">
        <v>960</v>
      </c>
      <c r="D45" s="11">
        <v>1.08</v>
      </c>
      <c r="E45" s="23">
        <v>55.6</v>
      </c>
      <c r="F45" s="24">
        <f t="shared" si="10"/>
        <v>0.45</v>
      </c>
      <c r="G45" s="23">
        <v>0.6</v>
      </c>
      <c r="H45" s="23">
        <v>15.85</v>
      </c>
      <c r="I45" s="23">
        <v>10.69</v>
      </c>
      <c r="J45" s="12">
        <f t="shared" si="11"/>
        <v>0.45</v>
      </c>
      <c r="K45" s="11">
        <v>0.9</v>
      </c>
      <c r="L45" s="623">
        <v>5.6004999999999994</v>
      </c>
      <c r="M45" s="656">
        <f t="shared" si="9"/>
        <v>43.08263925</v>
      </c>
      <c r="N45" s="11" t="s">
        <v>14</v>
      </c>
      <c r="O45" s="11"/>
    </row>
    <row r="46" spans="1:15">
      <c r="A46" s="152" t="s">
        <v>965</v>
      </c>
      <c r="B46" s="11" t="s">
        <v>41</v>
      </c>
      <c r="C46" s="252" t="s">
        <v>961</v>
      </c>
      <c r="D46" s="11">
        <v>1.08</v>
      </c>
      <c r="E46" s="23">
        <v>84.82</v>
      </c>
      <c r="F46" s="24">
        <f t="shared" si="10"/>
        <v>0.45</v>
      </c>
      <c r="G46" s="23">
        <v>0.6</v>
      </c>
      <c r="H46" s="23">
        <v>25.82</v>
      </c>
      <c r="I46" s="23">
        <v>19.690000000000001</v>
      </c>
      <c r="J46" s="12">
        <f t="shared" si="11"/>
        <v>0.45</v>
      </c>
      <c r="K46" s="11">
        <v>0.8</v>
      </c>
      <c r="L46" s="623">
        <v>7.6475</v>
      </c>
      <c r="M46" s="656">
        <f t="shared" si="9"/>
        <v>64.970383449999986</v>
      </c>
      <c r="N46" s="11" t="s">
        <v>14</v>
      </c>
      <c r="O46" s="11"/>
    </row>
    <row r="47" spans="1:15">
      <c r="A47" s="152" t="s">
        <v>965</v>
      </c>
      <c r="B47" s="11" t="s">
        <v>41</v>
      </c>
      <c r="C47" s="252" t="s">
        <v>962</v>
      </c>
      <c r="D47" s="11">
        <v>1.06</v>
      </c>
      <c r="E47" s="23">
        <v>128.56</v>
      </c>
      <c r="F47" s="24">
        <f t="shared" si="10"/>
        <v>0.45</v>
      </c>
      <c r="G47" s="23">
        <v>0.5</v>
      </c>
      <c r="H47" s="23">
        <v>41.72</v>
      </c>
      <c r="I47" s="23">
        <v>36.76</v>
      </c>
      <c r="J47" s="12">
        <f t="shared" si="11"/>
        <v>0.45</v>
      </c>
      <c r="K47" s="11">
        <v>0.7</v>
      </c>
      <c r="L47" s="623">
        <v>8.8779999999999983</v>
      </c>
      <c r="M47" s="656">
        <f t="shared" si="9"/>
        <v>93.335421199999985</v>
      </c>
      <c r="N47" s="11" t="s">
        <v>14</v>
      </c>
      <c r="O47" s="11"/>
    </row>
    <row r="48" spans="1:15">
      <c r="A48" s="152" t="s">
        <v>965</v>
      </c>
      <c r="B48" s="11" t="s">
        <v>41</v>
      </c>
      <c r="C48" s="252" t="s">
        <v>963</v>
      </c>
      <c r="D48" s="11">
        <v>1.06</v>
      </c>
      <c r="E48" s="23">
        <v>228.52</v>
      </c>
      <c r="F48" s="24">
        <f t="shared" si="10"/>
        <v>0.45</v>
      </c>
      <c r="G48" s="23">
        <v>0.4</v>
      </c>
      <c r="H48" s="23">
        <v>91.69</v>
      </c>
      <c r="I48" s="23">
        <v>68.78</v>
      </c>
      <c r="J48" s="12">
        <f t="shared" si="11"/>
        <v>0.45</v>
      </c>
      <c r="K48" s="11">
        <v>0.6</v>
      </c>
      <c r="L48" s="623">
        <v>10.419</v>
      </c>
      <c r="M48" s="656">
        <f t="shared" si="9"/>
        <v>159.4872139</v>
      </c>
      <c r="N48" s="11" t="s">
        <v>14</v>
      </c>
      <c r="O48" s="11"/>
    </row>
    <row r="49" spans="1:15">
      <c r="A49" s="152" t="s">
        <v>965</v>
      </c>
      <c r="B49" s="11" t="s">
        <v>41</v>
      </c>
      <c r="C49" s="252" t="s">
        <v>964</v>
      </c>
      <c r="D49" s="11">
        <v>1.06</v>
      </c>
      <c r="E49" s="23">
        <v>360.99</v>
      </c>
      <c r="F49" s="24">
        <f t="shared" si="10"/>
        <v>0.45</v>
      </c>
      <c r="G49" s="23">
        <v>0.4</v>
      </c>
      <c r="H49" s="23">
        <v>143.65</v>
      </c>
      <c r="I49" s="23">
        <v>118.66</v>
      </c>
      <c r="J49" s="12">
        <f t="shared" si="11"/>
        <v>0.45</v>
      </c>
      <c r="K49" s="11">
        <v>0.6</v>
      </c>
      <c r="L49" s="623">
        <v>13.742499999999998</v>
      </c>
      <c r="M49" s="656">
        <f t="shared" si="9"/>
        <v>251.27012155</v>
      </c>
      <c r="N49" s="11" t="s">
        <v>14</v>
      </c>
      <c r="O49" s="11"/>
    </row>
    <row r="51" spans="1:15">
      <c r="C51" s="253"/>
    </row>
    <row r="52" spans="1:15" ht="44.25" customHeight="1">
      <c r="A52" s="152" t="s">
        <v>965</v>
      </c>
      <c r="B52" s="11" t="s">
        <v>15</v>
      </c>
      <c r="C52" s="250" t="s">
        <v>967</v>
      </c>
      <c r="D52" s="250" t="s">
        <v>611</v>
      </c>
      <c r="E52" s="250" t="s">
        <v>919</v>
      </c>
      <c r="F52" s="250" t="s">
        <v>613</v>
      </c>
      <c r="G52" s="250" t="s">
        <v>611</v>
      </c>
      <c r="H52" s="250" t="s">
        <v>614</v>
      </c>
      <c r="I52" s="250" t="s">
        <v>615</v>
      </c>
      <c r="J52" s="250" t="s">
        <v>613</v>
      </c>
      <c r="K52" s="250" t="s">
        <v>611</v>
      </c>
      <c r="L52" s="250" t="s">
        <v>616</v>
      </c>
      <c r="M52" s="655" t="s">
        <v>617</v>
      </c>
      <c r="N52" s="11" t="s">
        <v>14</v>
      </c>
      <c r="O52" s="11"/>
    </row>
    <row r="53" spans="1:15">
      <c r="A53" s="152" t="s">
        <v>965</v>
      </c>
      <c r="B53" s="11" t="s">
        <v>15</v>
      </c>
      <c r="C53" s="252" t="s">
        <v>956</v>
      </c>
      <c r="D53" s="11">
        <v>1.1000000000000001</v>
      </c>
      <c r="E53" s="23">
        <v>12.66</v>
      </c>
      <c r="F53" s="24">
        <v>0.45</v>
      </c>
      <c r="G53" s="23">
        <v>0.8</v>
      </c>
      <c r="H53" s="23">
        <v>1.63</v>
      </c>
      <c r="I53" s="23">
        <v>1.1000000000000001</v>
      </c>
      <c r="J53" s="12">
        <v>0.45</v>
      </c>
      <c r="K53" s="11">
        <v>1.43</v>
      </c>
      <c r="L53" s="623">
        <v>2.2999999999999998</v>
      </c>
      <c r="M53" s="656">
        <f t="shared" ref="M53:M61" si="12">(D53*(E53-E53*F53)+G53*((H53+I53)-(H53+I53)*J53)/2+K53*L53)*1.015</f>
        <v>11.7221335</v>
      </c>
      <c r="N53" s="11" t="s">
        <v>14</v>
      </c>
      <c r="O53" s="11"/>
    </row>
    <row r="54" spans="1:15">
      <c r="A54" s="152" t="s">
        <v>965</v>
      </c>
      <c r="B54" s="11" t="s">
        <v>15</v>
      </c>
      <c r="C54" s="252" t="s">
        <v>957</v>
      </c>
      <c r="D54" s="11">
        <v>1.08</v>
      </c>
      <c r="E54" s="23">
        <v>20.21</v>
      </c>
      <c r="F54" s="24">
        <f>F53</f>
        <v>0.45</v>
      </c>
      <c r="G54" s="23">
        <v>0.8</v>
      </c>
      <c r="H54" s="23">
        <v>2.35</v>
      </c>
      <c r="I54" s="23">
        <v>1.57</v>
      </c>
      <c r="J54" s="12">
        <f>J53</f>
        <v>0.45</v>
      </c>
      <c r="K54" s="11">
        <v>1.25</v>
      </c>
      <c r="L54" s="623">
        <v>2.76</v>
      </c>
      <c r="M54" s="656">
        <f t="shared" si="12"/>
        <v>16.561897099999999</v>
      </c>
      <c r="N54" s="11" t="s">
        <v>14</v>
      </c>
      <c r="O54" s="11"/>
    </row>
    <row r="55" spans="1:15">
      <c r="A55" s="152" t="s">
        <v>965</v>
      </c>
      <c r="B55" s="11" t="s">
        <v>15</v>
      </c>
      <c r="C55" s="252" t="s">
        <v>958</v>
      </c>
      <c r="D55" s="11">
        <v>1.08</v>
      </c>
      <c r="E55" s="23">
        <v>29.45</v>
      </c>
      <c r="F55" s="24">
        <f t="shared" ref="F55:F61" si="13">F54</f>
        <v>0.45</v>
      </c>
      <c r="G55" s="23">
        <v>0.7</v>
      </c>
      <c r="H55" s="23">
        <v>4.5999999999999996</v>
      </c>
      <c r="I55" s="23">
        <v>2.67</v>
      </c>
      <c r="J55" s="12">
        <f t="shared" ref="J55:J61" si="14">J54</f>
        <v>0.45</v>
      </c>
      <c r="K55" s="11">
        <v>1.1100000000000001</v>
      </c>
      <c r="L55" s="623">
        <v>3.7374999999999998</v>
      </c>
      <c r="M55" s="656">
        <f t="shared" si="12"/>
        <v>23.387020999999994</v>
      </c>
      <c r="N55" s="11" t="s">
        <v>14</v>
      </c>
      <c r="O55" s="11"/>
    </row>
    <row r="56" spans="1:15">
      <c r="A56" s="152" t="s">
        <v>965</v>
      </c>
      <c r="B56" s="11" t="s">
        <v>15</v>
      </c>
      <c r="C56" s="252" t="s">
        <v>959</v>
      </c>
      <c r="D56" s="11">
        <v>1.08</v>
      </c>
      <c r="E56" s="23">
        <v>43.19</v>
      </c>
      <c r="F56" s="24">
        <f t="shared" si="13"/>
        <v>0.45</v>
      </c>
      <c r="G56" s="23">
        <v>0.6</v>
      </c>
      <c r="H56" s="23">
        <v>7</v>
      </c>
      <c r="I56" s="23">
        <v>5.3</v>
      </c>
      <c r="J56" s="12">
        <f t="shared" si="14"/>
        <v>0.45</v>
      </c>
      <c r="K56" s="11">
        <v>1</v>
      </c>
      <c r="L56" s="623">
        <v>4.6229999999999993</v>
      </c>
      <c r="M56" s="656">
        <f t="shared" si="12"/>
        <v>32.79197039999999</v>
      </c>
      <c r="N56" s="11" t="s">
        <v>14</v>
      </c>
      <c r="O56" s="11"/>
    </row>
    <row r="57" spans="1:15">
      <c r="A57" s="152" t="s">
        <v>965</v>
      </c>
      <c r="B57" s="11" t="s">
        <v>15</v>
      </c>
      <c r="C57" s="252" t="s">
        <v>960</v>
      </c>
      <c r="D57" s="11">
        <v>1.08</v>
      </c>
      <c r="E57" s="23">
        <v>61.54</v>
      </c>
      <c r="F57" s="24">
        <f t="shared" si="13"/>
        <v>0.45</v>
      </c>
      <c r="G57" s="23">
        <v>0.6</v>
      </c>
      <c r="H57" s="23">
        <v>15.85</v>
      </c>
      <c r="I57" s="23">
        <v>10.69</v>
      </c>
      <c r="J57" s="12">
        <f t="shared" si="14"/>
        <v>0.45</v>
      </c>
      <c r="K57" s="11">
        <v>0.9</v>
      </c>
      <c r="L57" s="623">
        <v>5.6004999999999994</v>
      </c>
      <c r="M57" s="656">
        <f t="shared" si="12"/>
        <v>46.663924649999991</v>
      </c>
      <c r="N57" s="11" t="s">
        <v>14</v>
      </c>
      <c r="O57" s="11"/>
    </row>
    <row r="58" spans="1:15">
      <c r="A58" s="152" t="s">
        <v>965</v>
      </c>
      <c r="B58" s="11" t="s">
        <v>15</v>
      </c>
      <c r="C58" s="252" t="s">
        <v>961</v>
      </c>
      <c r="D58" s="11">
        <v>1.08</v>
      </c>
      <c r="E58" s="23">
        <v>96.28</v>
      </c>
      <c r="F58" s="24">
        <f t="shared" si="13"/>
        <v>0.45</v>
      </c>
      <c r="G58" s="23">
        <v>0.6</v>
      </c>
      <c r="H58" s="23">
        <v>25.82</v>
      </c>
      <c r="I58" s="23">
        <v>19.690000000000001</v>
      </c>
      <c r="J58" s="12">
        <f t="shared" si="14"/>
        <v>0.45</v>
      </c>
      <c r="K58" s="11">
        <v>0.8</v>
      </c>
      <c r="L58" s="623">
        <v>7.6475</v>
      </c>
      <c r="M58" s="656">
        <f t="shared" si="12"/>
        <v>71.879732049999987</v>
      </c>
      <c r="N58" s="11" t="s">
        <v>14</v>
      </c>
      <c r="O58" s="11"/>
    </row>
    <row r="59" spans="1:15">
      <c r="A59" s="152" t="s">
        <v>965</v>
      </c>
      <c r="B59" s="11" t="s">
        <v>15</v>
      </c>
      <c r="C59" s="252" t="s">
        <v>962</v>
      </c>
      <c r="D59" s="11">
        <v>1.06</v>
      </c>
      <c r="E59" s="23">
        <v>141.9</v>
      </c>
      <c r="F59" s="24">
        <f t="shared" si="13"/>
        <v>0.45</v>
      </c>
      <c r="G59" s="23">
        <v>0.5</v>
      </c>
      <c r="H59" s="23">
        <v>41.72</v>
      </c>
      <c r="I59" s="23">
        <v>36.76</v>
      </c>
      <c r="J59" s="12">
        <f t="shared" si="14"/>
        <v>0.45</v>
      </c>
      <c r="K59" s="11">
        <v>0.7</v>
      </c>
      <c r="L59" s="623">
        <v>8.8779999999999983</v>
      </c>
      <c r="M59" s="656">
        <f t="shared" si="12"/>
        <v>101.22929950000001</v>
      </c>
      <c r="N59" s="11" t="s">
        <v>14</v>
      </c>
      <c r="O59" s="11"/>
    </row>
    <row r="60" spans="1:15">
      <c r="A60" s="152" t="s">
        <v>965</v>
      </c>
      <c r="B60" s="11" t="s">
        <v>15</v>
      </c>
      <c r="C60" s="252" t="s">
        <v>963</v>
      </c>
      <c r="D60" s="11">
        <v>1.06</v>
      </c>
      <c r="E60" s="23">
        <v>229.27</v>
      </c>
      <c r="F60" s="24">
        <f t="shared" si="13"/>
        <v>0.45</v>
      </c>
      <c r="G60" s="23">
        <v>0.4</v>
      </c>
      <c r="H60" s="23">
        <v>91.69</v>
      </c>
      <c r="I60" s="23">
        <v>68.78</v>
      </c>
      <c r="J60" s="12">
        <f t="shared" si="14"/>
        <v>0.45</v>
      </c>
      <c r="K60" s="11">
        <v>0.6</v>
      </c>
      <c r="L60" s="623">
        <v>10.419</v>
      </c>
      <c r="M60" s="656">
        <f t="shared" si="12"/>
        <v>159.93102264999999</v>
      </c>
      <c r="N60" s="11" t="s">
        <v>14</v>
      </c>
      <c r="O60" s="11"/>
    </row>
    <row r="61" spans="1:15">
      <c r="A61" s="152" t="s">
        <v>965</v>
      </c>
      <c r="B61" s="11" t="s">
        <v>15</v>
      </c>
      <c r="C61" s="252" t="s">
        <v>964</v>
      </c>
      <c r="D61" s="11">
        <v>1.06</v>
      </c>
      <c r="E61" s="23">
        <v>374.13</v>
      </c>
      <c r="F61" s="24">
        <f t="shared" si="13"/>
        <v>0.45</v>
      </c>
      <c r="G61" s="23">
        <v>0.4</v>
      </c>
      <c r="H61" s="23">
        <v>143.65</v>
      </c>
      <c r="I61" s="23">
        <v>118.66</v>
      </c>
      <c r="J61" s="12">
        <f t="shared" si="14"/>
        <v>0.45</v>
      </c>
      <c r="K61" s="11">
        <v>0.6</v>
      </c>
      <c r="L61" s="623">
        <v>13.742499999999998</v>
      </c>
      <c r="M61" s="656">
        <f t="shared" si="12"/>
        <v>259.04565085000002</v>
      </c>
      <c r="N61" s="11" t="s">
        <v>14</v>
      </c>
      <c r="O61" s="11"/>
    </row>
    <row r="63" spans="1:15">
      <c r="A63" s="152"/>
      <c r="B63" s="11"/>
      <c r="C63" s="250" t="s">
        <v>968</v>
      </c>
      <c r="D63" s="250" t="s">
        <v>611</v>
      </c>
      <c r="E63" s="250" t="s">
        <v>919</v>
      </c>
      <c r="F63" s="250" t="s">
        <v>613</v>
      </c>
      <c r="G63" s="250" t="s">
        <v>611</v>
      </c>
      <c r="H63" s="250" t="s">
        <v>614</v>
      </c>
      <c r="I63" s="250" t="s">
        <v>615</v>
      </c>
      <c r="J63" s="250" t="s">
        <v>613</v>
      </c>
      <c r="K63" s="250" t="s">
        <v>611</v>
      </c>
      <c r="L63" s="250" t="s">
        <v>616</v>
      </c>
      <c r="M63" s="655" t="s">
        <v>617</v>
      </c>
      <c r="N63" s="11" t="s">
        <v>40</v>
      </c>
      <c r="O63" s="234">
        <v>45566</v>
      </c>
    </row>
    <row r="64" spans="1:15">
      <c r="A64" s="152" t="s">
        <v>13</v>
      </c>
      <c r="B64" s="11" t="s">
        <v>41</v>
      </c>
      <c r="C64" s="252" t="s">
        <v>21</v>
      </c>
      <c r="D64" s="11">
        <v>1.1000000000000001</v>
      </c>
      <c r="E64" s="23">
        <v>5.42</v>
      </c>
      <c r="F64" s="12">
        <v>0.45</v>
      </c>
      <c r="G64" s="23">
        <v>0.8</v>
      </c>
      <c r="H64" s="23">
        <v>1.83</v>
      </c>
      <c r="I64" s="23">
        <v>1.1499999999999999</v>
      </c>
      <c r="J64" s="12">
        <v>0.45</v>
      </c>
      <c r="K64" s="11">
        <v>1.43</v>
      </c>
      <c r="L64" s="623">
        <v>2.2999999999999998</v>
      </c>
      <c r="M64" s="656">
        <f t="shared" ref="M64:M72" si="15">(D64*(E64-E64*F64)+G64*((H64+I64)-(H64+I64)*J64)/2+K64*L64)*1.015</f>
        <v>7.3320554999999992</v>
      </c>
      <c r="N64" s="11" t="s">
        <v>40</v>
      </c>
      <c r="O64" s="234">
        <f>O63</f>
        <v>45566</v>
      </c>
    </row>
    <row r="65" spans="1:15">
      <c r="A65" s="152" t="s">
        <v>13</v>
      </c>
      <c r="B65" s="11" t="str">
        <f>B64</f>
        <v>PN16</v>
      </c>
      <c r="C65" s="252" t="s">
        <v>23</v>
      </c>
      <c r="D65" s="11">
        <v>1.08</v>
      </c>
      <c r="E65" s="23">
        <v>8.33</v>
      </c>
      <c r="F65" s="12">
        <v>0.45</v>
      </c>
      <c r="G65" s="23">
        <v>0.8</v>
      </c>
      <c r="H65" s="23">
        <v>2.0499999999999998</v>
      </c>
      <c r="I65" s="23">
        <v>1.48</v>
      </c>
      <c r="J65" s="12">
        <v>0.45</v>
      </c>
      <c r="K65" s="11">
        <v>1.25</v>
      </c>
      <c r="L65" s="623">
        <v>2.76</v>
      </c>
      <c r="M65" s="656">
        <f t="shared" si="15"/>
        <v>9.3122392999999999</v>
      </c>
      <c r="N65" s="11" t="s">
        <v>40</v>
      </c>
      <c r="O65" s="234">
        <f t="shared" ref="O65:O72" si="16">O64</f>
        <v>45566</v>
      </c>
    </row>
    <row r="66" spans="1:15">
      <c r="A66" s="152" t="s">
        <v>13</v>
      </c>
      <c r="B66" s="11" t="str">
        <f t="shared" ref="B66:B72" si="17">B65</f>
        <v>PN16</v>
      </c>
      <c r="C66" s="252" t="s">
        <v>25</v>
      </c>
      <c r="D66" s="11">
        <v>1.08</v>
      </c>
      <c r="E66" s="23">
        <v>13.69</v>
      </c>
      <c r="F66" s="12">
        <v>0.45</v>
      </c>
      <c r="G66" s="23">
        <v>0.7</v>
      </c>
      <c r="H66" s="23">
        <v>3.62</v>
      </c>
      <c r="I66" s="23">
        <v>2.75</v>
      </c>
      <c r="J66" s="12">
        <v>0.45</v>
      </c>
      <c r="K66" s="11">
        <v>1.1100000000000001</v>
      </c>
      <c r="L66" s="623">
        <v>3.7374999999999998</v>
      </c>
      <c r="M66" s="656">
        <f t="shared" si="15"/>
        <v>13.709310649999997</v>
      </c>
      <c r="N66" s="11" t="s">
        <v>40</v>
      </c>
      <c r="O66" s="234">
        <f t="shared" si="16"/>
        <v>45566</v>
      </c>
    </row>
    <row r="67" spans="1:15">
      <c r="A67" s="152" t="s">
        <v>13</v>
      </c>
      <c r="B67" s="11" t="str">
        <f t="shared" si="17"/>
        <v>PN16</v>
      </c>
      <c r="C67" s="252" t="s">
        <v>27</v>
      </c>
      <c r="D67" s="11">
        <v>1.08</v>
      </c>
      <c r="E67" s="23">
        <v>20.96</v>
      </c>
      <c r="F67" s="12">
        <v>0.45</v>
      </c>
      <c r="G67" s="23">
        <v>0.6</v>
      </c>
      <c r="H67" s="23">
        <v>5.45</v>
      </c>
      <c r="I67" s="23">
        <v>4.8099999999999996</v>
      </c>
      <c r="J67" s="12">
        <v>0.45</v>
      </c>
      <c r="K67" s="11">
        <v>1</v>
      </c>
      <c r="L67" s="623">
        <v>4.6229999999999993</v>
      </c>
      <c r="M67" s="656">
        <f t="shared" si="15"/>
        <v>19.047632099999998</v>
      </c>
      <c r="N67" s="11" t="s">
        <v>40</v>
      </c>
      <c r="O67" s="234">
        <f t="shared" si="16"/>
        <v>45566</v>
      </c>
    </row>
    <row r="68" spans="1:15">
      <c r="A68" s="152" t="s">
        <v>13</v>
      </c>
      <c r="B68" s="11" t="str">
        <f t="shared" si="17"/>
        <v>PN16</v>
      </c>
      <c r="C68" s="252" t="s">
        <v>29</v>
      </c>
      <c r="D68" s="11">
        <v>1.08</v>
      </c>
      <c r="E68" s="23">
        <v>32.33</v>
      </c>
      <c r="F68" s="12">
        <v>0.45</v>
      </c>
      <c r="G68" s="23">
        <v>0.6</v>
      </c>
      <c r="H68" s="23">
        <v>11.99</v>
      </c>
      <c r="I68" s="23">
        <v>9.14</v>
      </c>
      <c r="J68" s="12">
        <v>0.45</v>
      </c>
      <c r="K68" s="11">
        <v>0.9</v>
      </c>
      <c r="L68" s="623">
        <v>5.6004999999999994</v>
      </c>
      <c r="M68" s="656">
        <f t="shared" si="15"/>
        <v>28.146883800000001</v>
      </c>
      <c r="N68" s="11" t="s">
        <v>40</v>
      </c>
      <c r="O68" s="234">
        <f t="shared" si="16"/>
        <v>45566</v>
      </c>
    </row>
    <row r="69" spans="1:15">
      <c r="A69" s="152" t="s">
        <v>13</v>
      </c>
      <c r="B69" s="11" t="str">
        <f t="shared" si="17"/>
        <v>PN16</v>
      </c>
      <c r="C69" s="252" t="s">
        <v>376</v>
      </c>
      <c r="D69" s="11">
        <v>1.08</v>
      </c>
      <c r="E69" s="23">
        <v>50.63</v>
      </c>
      <c r="F69" s="12">
        <v>0.45</v>
      </c>
      <c r="G69" s="23">
        <v>0.6</v>
      </c>
      <c r="H69" s="23">
        <v>21.41</v>
      </c>
      <c r="I69" s="23">
        <v>16.23</v>
      </c>
      <c r="J69" s="12">
        <v>0.45</v>
      </c>
      <c r="K69" s="11">
        <v>0.8</v>
      </c>
      <c r="L69" s="623">
        <v>7.6475</v>
      </c>
      <c r="M69" s="656">
        <f t="shared" si="15"/>
        <v>43.038862299999998</v>
      </c>
      <c r="N69" s="11" t="s">
        <v>40</v>
      </c>
      <c r="O69" s="234">
        <f t="shared" si="16"/>
        <v>45566</v>
      </c>
    </row>
    <row r="70" spans="1:15">
      <c r="A70" s="152" t="s">
        <v>13</v>
      </c>
      <c r="B70" s="11" t="str">
        <f t="shared" si="17"/>
        <v>PN16</v>
      </c>
      <c r="C70" s="252" t="s">
        <v>357</v>
      </c>
      <c r="D70" s="11">
        <v>1.06</v>
      </c>
      <c r="E70" s="23">
        <v>73.88</v>
      </c>
      <c r="F70" s="12">
        <v>0.45</v>
      </c>
      <c r="G70" s="23">
        <v>0.5</v>
      </c>
      <c r="H70" s="23">
        <v>37.29</v>
      </c>
      <c r="I70" s="23">
        <v>51.84</v>
      </c>
      <c r="J70" s="12">
        <v>0.45</v>
      </c>
      <c r="K70" s="11">
        <v>0.7</v>
      </c>
      <c r="L70" s="623">
        <v>8.8779999999999983</v>
      </c>
      <c r="M70" s="656">
        <f t="shared" si="15"/>
        <v>62.465145224999986</v>
      </c>
      <c r="N70" s="11" t="s">
        <v>40</v>
      </c>
      <c r="O70" s="234">
        <f t="shared" si="16"/>
        <v>45566</v>
      </c>
    </row>
    <row r="71" spans="1:15">
      <c r="A71" s="152" t="s">
        <v>13</v>
      </c>
      <c r="B71" s="11" t="str">
        <f t="shared" si="17"/>
        <v>PN16</v>
      </c>
      <c r="C71" s="252" t="s">
        <v>377</v>
      </c>
      <c r="D71" s="11">
        <v>1.06</v>
      </c>
      <c r="E71" s="23">
        <v>138.07</v>
      </c>
      <c r="F71" s="12">
        <v>0.45</v>
      </c>
      <c r="G71" s="23">
        <v>0.4</v>
      </c>
      <c r="H71" s="23">
        <v>104.14</v>
      </c>
      <c r="I71" s="23">
        <v>74.08</v>
      </c>
      <c r="J71" s="12">
        <v>0.45</v>
      </c>
      <c r="K71" s="11">
        <v>0.6</v>
      </c>
      <c r="L71" s="623">
        <v>10.419</v>
      </c>
      <c r="M71" s="656">
        <f t="shared" si="15"/>
        <v>107.94566615000001</v>
      </c>
      <c r="N71" s="11" t="s">
        <v>40</v>
      </c>
      <c r="O71" s="234">
        <f t="shared" si="16"/>
        <v>45566</v>
      </c>
    </row>
    <row r="72" spans="1:15">
      <c r="A72" s="152" t="s">
        <v>13</v>
      </c>
      <c r="B72" s="11" t="str">
        <f t="shared" si="17"/>
        <v>PN16</v>
      </c>
      <c r="C72" s="252" t="s">
        <v>326</v>
      </c>
      <c r="D72" s="11">
        <v>1.06</v>
      </c>
      <c r="E72" s="23">
        <v>209.4</v>
      </c>
      <c r="F72" s="12">
        <v>0.45</v>
      </c>
      <c r="G72" s="23">
        <v>0.4</v>
      </c>
      <c r="H72" s="23">
        <v>172.65</v>
      </c>
      <c r="I72" s="23">
        <v>156.08000000000001</v>
      </c>
      <c r="J72" s="12">
        <v>0.45</v>
      </c>
      <c r="K72" s="11">
        <v>0.6</v>
      </c>
      <c r="L72" s="623">
        <v>13.742499999999998</v>
      </c>
      <c r="M72" s="656">
        <f t="shared" si="15"/>
        <v>168.98328999999998</v>
      </c>
      <c r="N72" s="11" t="s">
        <v>40</v>
      </c>
      <c r="O72" s="234">
        <f t="shared" si="16"/>
        <v>45566</v>
      </c>
    </row>
    <row r="73" spans="1:15">
      <c r="F73" s="6"/>
      <c r="J73" s="6"/>
      <c r="L73" s="642"/>
      <c r="M73" s="657"/>
    </row>
    <row r="74" spans="1:15">
      <c r="C74" s="188"/>
      <c r="F74" s="6"/>
      <c r="J74" s="6"/>
      <c r="L74" s="642"/>
      <c r="M74" s="657"/>
    </row>
    <row r="75" spans="1:15" ht="30">
      <c r="A75" s="152" t="s">
        <v>39</v>
      </c>
      <c r="B75" s="11" t="s">
        <v>15</v>
      </c>
      <c r="C75" s="250" t="s">
        <v>969</v>
      </c>
      <c r="D75" s="250" t="s">
        <v>611</v>
      </c>
      <c r="E75" s="250" t="s">
        <v>919</v>
      </c>
      <c r="F75" s="250" t="s">
        <v>613</v>
      </c>
      <c r="G75" s="250" t="s">
        <v>611</v>
      </c>
      <c r="H75" s="250" t="s">
        <v>614</v>
      </c>
      <c r="I75" s="250" t="s">
        <v>615</v>
      </c>
      <c r="J75" s="250" t="s">
        <v>613</v>
      </c>
      <c r="K75" s="250" t="s">
        <v>611</v>
      </c>
      <c r="L75" s="250" t="s">
        <v>616</v>
      </c>
      <c r="M75" s="655" t="s">
        <v>617</v>
      </c>
      <c r="N75" s="11" t="s">
        <v>40</v>
      </c>
      <c r="O75" s="234">
        <f>O63</f>
        <v>45566</v>
      </c>
    </row>
    <row r="76" spans="1:15">
      <c r="A76" s="152" t="s">
        <v>39</v>
      </c>
      <c r="B76" s="11" t="str">
        <f>B75</f>
        <v>PN20</v>
      </c>
      <c r="C76" s="252" t="s">
        <v>285</v>
      </c>
      <c r="D76" s="11">
        <v>1.1000000000000001</v>
      </c>
      <c r="E76" s="23">
        <v>11.4</v>
      </c>
      <c r="F76" s="24">
        <v>0.45</v>
      </c>
      <c r="G76" s="23">
        <v>0.8</v>
      </c>
      <c r="H76" s="23">
        <v>1.35</v>
      </c>
      <c r="I76" s="23">
        <v>0.88</v>
      </c>
      <c r="J76" s="12">
        <v>0.45</v>
      </c>
      <c r="K76" s="11">
        <v>1.43</v>
      </c>
      <c r="L76" s="623">
        <v>2.0699999999999998</v>
      </c>
      <c r="M76" s="656">
        <f t="shared" ref="M76:M85" si="18">(D76*(E76-E76*F76)+G76*((H76+I76)-(H76+I76)*J76)/2+K76*L76)*1.015</f>
        <v>10.502915499999999</v>
      </c>
      <c r="N76" s="11" t="s">
        <v>40</v>
      </c>
      <c r="O76" s="234">
        <f t="shared" ref="O76:O85" si="19">O64</f>
        <v>45566</v>
      </c>
    </row>
    <row r="77" spans="1:15">
      <c r="A77" s="152" t="s">
        <v>39</v>
      </c>
      <c r="B77" s="11" t="str">
        <f t="shared" ref="B77:B85" si="20">B76</f>
        <v>PN20</v>
      </c>
      <c r="C77" s="252" t="s">
        <v>21</v>
      </c>
      <c r="D77" s="11">
        <v>1.1000000000000001</v>
      </c>
      <c r="E77" s="23">
        <v>12.53</v>
      </c>
      <c r="F77" s="24">
        <f t="shared" ref="F77:F85" si="21">F76</f>
        <v>0.45</v>
      </c>
      <c r="G77" s="23">
        <v>0.8</v>
      </c>
      <c r="H77" s="23">
        <v>1.83</v>
      </c>
      <c r="I77" s="23">
        <v>1.1499999999999999</v>
      </c>
      <c r="J77" s="12">
        <f t="shared" ref="J77:J85" si="22">J76</f>
        <v>0.45</v>
      </c>
      <c r="K77" s="11">
        <v>1.43</v>
      </c>
      <c r="L77" s="623">
        <v>2.2999999999999998</v>
      </c>
      <c r="M77" s="656">
        <f t="shared" si="18"/>
        <v>11.698128749999999</v>
      </c>
      <c r="N77" s="11" t="s">
        <v>40</v>
      </c>
      <c r="O77" s="234">
        <f t="shared" si="19"/>
        <v>45566</v>
      </c>
    </row>
    <row r="78" spans="1:15">
      <c r="A78" s="152" t="s">
        <v>39</v>
      </c>
      <c r="B78" s="11" t="str">
        <f t="shared" si="20"/>
        <v>PN20</v>
      </c>
      <c r="C78" s="252" t="s">
        <v>23</v>
      </c>
      <c r="D78" s="11">
        <v>1.08</v>
      </c>
      <c r="E78" s="23">
        <v>18.04</v>
      </c>
      <c r="F78" s="24">
        <f t="shared" si="21"/>
        <v>0.45</v>
      </c>
      <c r="G78" s="23">
        <v>0.8</v>
      </c>
      <c r="H78" s="23">
        <v>2.0499999999999998</v>
      </c>
      <c r="I78" s="23">
        <v>1.48</v>
      </c>
      <c r="J78" s="12">
        <f t="shared" si="22"/>
        <v>0.45</v>
      </c>
      <c r="K78" s="11">
        <v>1.25</v>
      </c>
      <c r="L78" s="623">
        <v>2.76</v>
      </c>
      <c r="M78" s="656">
        <f t="shared" si="18"/>
        <v>15.166495399999997</v>
      </c>
      <c r="N78" s="11" t="s">
        <v>40</v>
      </c>
      <c r="O78" s="234">
        <f t="shared" si="19"/>
        <v>45566</v>
      </c>
    </row>
    <row r="79" spans="1:15">
      <c r="A79" s="152" t="s">
        <v>39</v>
      </c>
      <c r="B79" s="11" t="str">
        <f t="shared" si="20"/>
        <v>PN20</v>
      </c>
      <c r="C79" s="252" t="s">
        <v>25</v>
      </c>
      <c r="D79" s="11">
        <v>1.08</v>
      </c>
      <c r="E79" s="23">
        <v>27.45</v>
      </c>
      <c r="F79" s="24">
        <f t="shared" si="21"/>
        <v>0.45</v>
      </c>
      <c r="G79" s="23">
        <v>0.7</v>
      </c>
      <c r="H79" s="23">
        <v>3.62</v>
      </c>
      <c r="I79" s="23">
        <v>2.75</v>
      </c>
      <c r="J79" s="12">
        <f t="shared" si="22"/>
        <v>0.45</v>
      </c>
      <c r="K79" s="11">
        <v>1.1100000000000001</v>
      </c>
      <c r="L79" s="623">
        <v>3.7374999999999998</v>
      </c>
      <c r="M79" s="656">
        <f t="shared" si="18"/>
        <v>22.005352249999998</v>
      </c>
      <c r="N79" s="11" t="s">
        <v>40</v>
      </c>
      <c r="O79" s="234">
        <f t="shared" si="19"/>
        <v>45566</v>
      </c>
    </row>
    <row r="80" spans="1:15">
      <c r="A80" s="152" t="s">
        <v>39</v>
      </c>
      <c r="B80" s="11" t="str">
        <f t="shared" si="20"/>
        <v>PN20</v>
      </c>
      <c r="C80" s="252" t="s">
        <v>27</v>
      </c>
      <c r="D80" s="11">
        <v>1.08</v>
      </c>
      <c r="E80" s="23">
        <v>39.97</v>
      </c>
      <c r="F80" s="24">
        <f t="shared" si="21"/>
        <v>0.45</v>
      </c>
      <c r="G80" s="23">
        <v>0.6</v>
      </c>
      <c r="H80" s="23">
        <v>5.45</v>
      </c>
      <c r="I80" s="23">
        <v>4.8099999999999996</v>
      </c>
      <c r="J80" s="12">
        <f t="shared" si="22"/>
        <v>0.45</v>
      </c>
      <c r="K80" s="11">
        <v>1</v>
      </c>
      <c r="L80" s="623">
        <v>4.6229999999999993</v>
      </c>
      <c r="M80" s="656">
        <f t="shared" si="18"/>
        <v>30.508951199999995</v>
      </c>
      <c r="N80" s="11" t="s">
        <v>40</v>
      </c>
      <c r="O80" s="234">
        <f t="shared" si="19"/>
        <v>45566</v>
      </c>
    </row>
    <row r="81" spans="1:15">
      <c r="A81" s="152" t="s">
        <v>39</v>
      </c>
      <c r="B81" s="11" t="str">
        <f t="shared" si="20"/>
        <v>PN20</v>
      </c>
      <c r="C81" s="252" t="s">
        <v>29</v>
      </c>
      <c r="D81" s="11">
        <v>1.08</v>
      </c>
      <c r="E81" s="23">
        <v>57.36</v>
      </c>
      <c r="F81" s="24">
        <f t="shared" si="21"/>
        <v>0.45</v>
      </c>
      <c r="G81" s="23">
        <v>0.6</v>
      </c>
      <c r="H81" s="23">
        <v>11.99</v>
      </c>
      <c r="I81" s="23">
        <v>9.14</v>
      </c>
      <c r="J81" s="12">
        <f t="shared" si="22"/>
        <v>0.45</v>
      </c>
      <c r="K81" s="11">
        <v>0.9</v>
      </c>
      <c r="L81" s="623">
        <v>5.6004999999999994</v>
      </c>
      <c r="M81" s="656">
        <f t="shared" si="18"/>
        <v>43.237721099999995</v>
      </c>
      <c r="N81" s="11" t="s">
        <v>40</v>
      </c>
      <c r="O81" s="234">
        <f t="shared" si="19"/>
        <v>45566</v>
      </c>
    </row>
    <row r="82" spans="1:15">
      <c r="A82" s="152" t="s">
        <v>39</v>
      </c>
      <c r="B82" s="11" t="str">
        <f t="shared" si="20"/>
        <v>PN20</v>
      </c>
      <c r="C82" s="252" t="s">
        <v>376</v>
      </c>
      <c r="D82" s="11">
        <v>1.08</v>
      </c>
      <c r="E82" s="23">
        <v>88.72</v>
      </c>
      <c r="F82" s="24">
        <f t="shared" si="21"/>
        <v>0.45</v>
      </c>
      <c r="G82" s="23">
        <v>0.6</v>
      </c>
      <c r="H82" s="23">
        <v>21.41</v>
      </c>
      <c r="I82" s="23">
        <v>16.23</v>
      </c>
      <c r="J82" s="12">
        <f t="shared" si="22"/>
        <v>0.45</v>
      </c>
      <c r="K82" s="11">
        <v>0.8</v>
      </c>
      <c r="L82" s="623">
        <v>7.6475</v>
      </c>
      <c r="M82" s="656">
        <f t="shared" si="18"/>
        <v>66.003704199999987</v>
      </c>
      <c r="N82" s="11" t="s">
        <v>40</v>
      </c>
      <c r="O82" s="234">
        <f t="shared" si="19"/>
        <v>45566</v>
      </c>
    </row>
    <row r="83" spans="1:15">
      <c r="A83" s="152" t="s">
        <v>39</v>
      </c>
      <c r="B83" s="11" t="str">
        <f t="shared" si="20"/>
        <v>PN20</v>
      </c>
      <c r="C83" s="252" t="s">
        <v>357</v>
      </c>
      <c r="D83" s="11">
        <v>1.06</v>
      </c>
      <c r="E83" s="23">
        <v>157.44</v>
      </c>
      <c r="F83" s="24">
        <f t="shared" si="21"/>
        <v>0.45</v>
      </c>
      <c r="G83" s="23">
        <v>0.5</v>
      </c>
      <c r="H83" s="23">
        <v>37.29</v>
      </c>
      <c r="I83" s="23">
        <v>51.84</v>
      </c>
      <c r="J83" s="12">
        <f t="shared" si="22"/>
        <v>0.45</v>
      </c>
      <c r="K83" s="11">
        <v>0.7</v>
      </c>
      <c r="L83" s="623">
        <v>8.8779999999999983</v>
      </c>
      <c r="M83" s="656">
        <f t="shared" si="18"/>
        <v>111.91135742499999</v>
      </c>
      <c r="N83" s="11" t="s">
        <v>40</v>
      </c>
      <c r="O83" s="234">
        <f t="shared" si="19"/>
        <v>45566</v>
      </c>
    </row>
    <row r="84" spans="1:15">
      <c r="A84" s="152" t="s">
        <v>39</v>
      </c>
      <c r="B84" s="11" t="str">
        <f t="shared" si="20"/>
        <v>PN20</v>
      </c>
      <c r="C84" s="252" t="s">
        <v>377</v>
      </c>
      <c r="D84" s="11">
        <v>1.06</v>
      </c>
      <c r="E84" s="23">
        <v>276.48</v>
      </c>
      <c r="F84" s="24">
        <f t="shared" si="21"/>
        <v>0.45</v>
      </c>
      <c r="G84" s="23">
        <v>0.4</v>
      </c>
      <c r="H84" s="23">
        <v>104.14</v>
      </c>
      <c r="I84" s="23">
        <v>74.08</v>
      </c>
      <c r="J84" s="12">
        <f t="shared" si="22"/>
        <v>0.45</v>
      </c>
      <c r="K84" s="11">
        <v>0.6</v>
      </c>
      <c r="L84" s="623">
        <v>10.419</v>
      </c>
      <c r="M84" s="656">
        <f t="shared" si="18"/>
        <v>189.84909159999998</v>
      </c>
      <c r="N84" s="11" t="s">
        <v>40</v>
      </c>
      <c r="O84" s="234">
        <f t="shared" si="19"/>
        <v>45566</v>
      </c>
    </row>
    <row r="85" spans="1:15">
      <c r="A85" s="152" t="s">
        <v>39</v>
      </c>
      <c r="B85" s="11" t="str">
        <f t="shared" si="20"/>
        <v>PN20</v>
      </c>
      <c r="C85" s="252" t="s">
        <v>326</v>
      </c>
      <c r="D85" s="11">
        <v>1.06</v>
      </c>
      <c r="E85" s="23">
        <v>426.72</v>
      </c>
      <c r="F85" s="24">
        <f t="shared" si="21"/>
        <v>0.45</v>
      </c>
      <c r="G85" s="23">
        <v>0.4</v>
      </c>
      <c r="H85" s="23">
        <v>172.65</v>
      </c>
      <c r="I85" s="23">
        <v>156.08000000000001</v>
      </c>
      <c r="J85" s="12">
        <f t="shared" si="22"/>
        <v>0.45</v>
      </c>
      <c r="K85" s="11">
        <v>0.6</v>
      </c>
      <c r="L85" s="623">
        <v>13.742499999999998</v>
      </c>
      <c r="M85" s="656">
        <f t="shared" si="18"/>
        <v>297.5813134</v>
      </c>
      <c r="N85" s="11" t="s">
        <v>40</v>
      </c>
      <c r="O85" s="234">
        <f t="shared" si="19"/>
        <v>0</v>
      </c>
    </row>
    <row r="88" spans="1:15" ht="30">
      <c r="A88" s="152"/>
      <c r="B88" s="11"/>
      <c r="C88" s="250" t="s">
        <v>970</v>
      </c>
      <c r="D88" s="250" t="s">
        <v>611</v>
      </c>
      <c r="E88" s="250" t="s">
        <v>919</v>
      </c>
      <c r="F88" s="250" t="s">
        <v>613</v>
      </c>
      <c r="G88" s="250" t="s">
        <v>611</v>
      </c>
      <c r="H88" s="250" t="s">
        <v>614</v>
      </c>
      <c r="I88" s="250" t="s">
        <v>615</v>
      </c>
      <c r="J88" s="250" t="s">
        <v>613</v>
      </c>
      <c r="K88" s="250" t="s">
        <v>611</v>
      </c>
      <c r="L88" s="250" t="s">
        <v>616</v>
      </c>
      <c r="M88" s="655" t="s">
        <v>617</v>
      </c>
      <c r="N88" s="11" t="s">
        <v>42</v>
      </c>
      <c r="O88" s="234">
        <v>45323</v>
      </c>
    </row>
    <row r="89" spans="1:15">
      <c r="A89" s="152"/>
      <c r="B89" s="11"/>
      <c r="C89" s="252" t="s">
        <v>971</v>
      </c>
      <c r="D89" s="11">
        <v>1.08</v>
      </c>
      <c r="E89" s="11">
        <v>7.97</v>
      </c>
      <c r="F89" s="12">
        <v>0.35</v>
      </c>
      <c r="G89" s="11">
        <v>0.8</v>
      </c>
      <c r="H89" s="11">
        <v>3.1</v>
      </c>
      <c r="I89" s="11">
        <v>1.79</v>
      </c>
      <c r="J89" s="12">
        <v>0.35</v>
      </c>
      <c r="K89" s="11">
        <v>1.25</v>
      </c>
      <c r="L89" s="623">
        <v>2.76</v>
      </c>
      <c r="M89" s="656">
        <f t="shared" ref="M89:M95" si="23">(D89*(E89-E89*F89)+G89*((H89+I89)-(H89+I89)*J89)/2+K89*L89)*1.015</f>
        <v>10.4710851</v>
      </c>
      <c r="N89" s="11" t="s">
        <v>42</v>
      </c>
      <c r="O89" s="234">
        <v>45323</v>
      </c>
    </row>
    <row r="90" spans="1:15">
      <c r="A90" s="152"/>
      <c r="B90" s="11"/>
      <c r="C90" s="252" t="s">
        <v>972</v>
      </c>
      <c r="D90" s="11">
        <v>1.08</v>
      </c>
      <c r="E90" s="11">
        <v>12.11</v>
      </c>
      <c r="F90" s="12">
        <v>0.35</v>
      </c>
      <c r="G90" s="11">
        <v>0.7</v>
      </c>
      <c r="H90" s="11">
        <v>5.85</v>
      </c>
      <c r="I90" s="11">
        <v>3.73</v>
      </c>
      <c r="J90" s="12">
        <v>0.35</v>
      </c>
      <c r="K90" s="11">
        <v>1.1100000000000001</v>
      </c>
      <c r="L90" s="623">
        <v>3.7374999999999998</v>
      </c>
      <c r="M90" s="656">
        <f t="shared" si="23"/>
        <v>15.051734424999998</v>
      </c>
      <c r="N90" s="11" t="s">
        <v>42</v>
      </c>
      <c r="O90" s="234">
        <v>45323</v>
      </c>
    </row>
    <row r="91" spans="1:15">
      <c r="A91" s="152"/>
      <c r="B91" s="11"/>
      <c r="C91" s="252" t="s">
        <v>973</v>
      </c>
      <c r="D91" s="11">
        <v>1.08</v>
      </c>
      <c r="E91" s="11">
        <v>19.170000000000002</v>
      </c>
      <c r="F91" s="12">
        <v>0.35</v>
      </c>
      <c r="G91" s="11">
        <v>0.6</v>
      </c>
      <c r="H91" s="11">
        <v>12.12</v>
      </c>
      <c r="I91" s="11">
        <v>6.08</v>
      </c>
      <c r="J91" s="12">
        <v>0.35</v>
      </c>
      <c r="K91" s="11">
        <v>1</v>
      </c>
      <c r="L91" s="623">
        <v>4.6229999999999993</v>
      </c>
      <c r="M91" s="656">
        <f t="shared" si="23"/>
        <v>21.953780099999996</v>
      </c>
      <c r="N91" s="11" t="s">
        <v>42</v>
      </c>
      <c r="O91" s="234">
        <v>45323</v>
      </c>
    </row>
    <row r="92" spans="1:15">
      <c r="A92" s="152"/>
      <c r="B92" s="11"/>
      <c r="C92" s="252" t="s">
        <v>974</v>
      </c>
      <c r="D92" s="11">
        <v>1.08</v>
      </c>
      <c r="E92" s="11">
        <v>34.24</v>
      </c>
      <c r="F92" s="12">
        <v>0.35</v>
      </c>
      <c r="G92" s="11">
        <v>0.6</v>
      </c>
      <c r="H92" s="11">
        <v>16.72</v>
      </c>
      <c r="I92" s="11">
        <v>11.73</v>
      </c>
      <c r="J92" s="12">
        <v>0.35</v>
      </c>
      <c r="K92" s="11">
        <v>0.9</v>
      </c>
      <c r="L92" s="623">
        <v>5.6004999999999994</v>
      </c>
      <c r="M92" s="656">
        <f t="shared" si="23"/>
        <v>35.144050199999995</v>
      </c>
      <c r="N92" s="11" t="s">
        <v>42</v>
      </c>
      <c r="O92" s="234">
        <v>45323</v>
      </c>
    </row>
    <row r="93" spans="1:15">
      <c r="A93" s="152"/>
      <c r="B93" s="11"/>
      <c r="C93" s="252" t="s">
        <v>975</v>
      </c>
      <c r="D93" s="11">
        <v>1.08</v>
      </c>
      <c r="E93" s="11">
        <v>49.53</v>
      </c>
      <c r="F93" s="12">
        <v>0.35</v>
      </c>
      <c r="G93" s="11">
        <v>0.6</v>
      </c>
      <c r="H93" s="11">
        <v>38.75</v>
      </c>
      <c r="I93" s="11">
        <v>21.5</v>
      </c>
      <c r="J93" s="12">
        <v>0.35</v>
      </c>
      <c r="K93" s="11">
        <v>0.8</v>
      </c>
      <c r="L93" s="623">
        <v>7.6475</v>
      </c>
      <c r="M93" s="656">
        <f t="shared" si="23"/>
        <v>53.426362150000003</v>
      </c>
      <c r="N93" s="11" t="s">
        <v>42</v>
      </c>
      <c r="O93" s="234">
        <v>45323</v>
      </c>
    </row>
    <row r="94" spans="1:15">
      <c r="A94" s="152"/>
      <c r="B94" s="11"/>
      <c r="C94" s="252" t="s">
        <v>976</v>
      </c>
      <c r="D94" s="11">
        <v>1.06</v>
      </c>
      <c r="E94" s="11">
        <v>73.010000000000005</v>
      </c>
      <c r="F94" s="12">
        <v>0.35</v>
      </c>
      <c r="G94" s="11">
        <v>0.5</v>
      </c>
      <c r="H94" s="11">
        <v>69.709999999999994</v>
      </c>
      <c r="I94" s="11">
        <v>47.87</v>
      </c>
      <c r="J94" s="12">
        <v>0.35</v>
      </c>
      <c r="K94" s="11">
        <v>0.7</v>
      </c>
      <c r="L94" s="623">
        <v>8.8779999999999983</v>
      </c>
      <c r="M94" s="656">
        <f t="shared" si="23"/>
        <v>76.759618599999996</v>
      </c>
      <c r="N94" s="11" t="s">
        <v>42</v>
      </c>
      <c r="O94" s="234">
        <v>45323</v>
      </c>
    </row>
    <row r="95" spans="1:15">
      <c r="A95" s="152"/>
      <c r="B95" s="11"/>
      <c r="C95" s="252" t="s">
        <v>977</v>
      </c>
      <c r="D95" s="11">
        <v>1.06</v>
      </c>
      <c r="E95" s="11">
        <v>107.48</v>
      </c>
      <c r="F95" s="12">
        <v>0.35</v>
      </c>
      <c r="G95" s="11">
        <v>0.4</v>
      </c>
      <c r="H95" s="11">
        <v>114.38</v>
      </c>
      <c r="I95" s="11">
        <v>109.62</v>
      </c>
      <c r="J95" s="12">
        <v>0.35</v>
      </c>
      <c r="K95" s="11">
        <v>0.6</v>
      </c>
      <c r="L95" s="623">
        <v>10.419</v>
      </c>
      <c r="M95" s="656">
        <f t="shared" si="23"/>
        <v>111.0664968</v>
      </c>
      <c r="N95" s="11" t="s">
        <v>42</v>
      </c>
      <c r="O95" s="234">
        <v>45323</v>
      </c>
    </row>
    <row r="99" spans="1:15">
      <c r="A99" s="152"/>
      <c r="B99" s="11"/>
      <c r="C99" s="658" t="s">
        <v>978</v>
      </c>
      <c r="D99" s="250" t="s">
        <v>611</v>
      </c>
      <c r="E99" s="250" t="s">
        <v>919</v>
      </c>
      <c r="F99" s="250" t="s">
        <v>613</v>
      </c>
      <c r="G99" s="250" t="s">
        <v>611</v>
      </c>
      <c r="H99" s="250" t="s">
        <v>614</v>
      </c>
      <c r="I99" s="250" t="s">
        <v>615</v>
      </c>
      <c r="J99" s="250" t="s">
        <v>613</v>
      </c>
      <c r="K99" s="250" t="s">
        <v>611</v>
      </c>
      <c r="L99" s="250" t="s">
        <v>616</v>
      </c>
      <c r="M99" s="655" t="s">
        <v>617</v>
      </c>
      <c r="N99" s="11" t="s">
        <v>42</v>
      </c>
      <c r="O99" s="234">
        <v>45323</v>
      </c>
    </row>
    <row r="100" spans="1:15">
      <c r="A100" s="152"/>
      <c r="B100" s="11"/>
      <c r="C100" s="252" t="s">
        <v>979</v>
      </c>
      <c r="D100" s="11">
        <v>1.1000000000000001</v>
      </c>
      <c r="E100" s="11">
        <v>5.49</v>
      </c>
      <c r="F100" s="12">
        <v>0.35</v>
      </c>
      <c r="G100" s="11">
        <v>0.8</v>
      </c>
      <c r="H100" s="11">
        <v>3.63</v>
      </c>
      <c r="I100" s="11">
        <v>2.2999999999999998</v>
      </c>
      <c r="J100" s="12">
        <v>0.35</v>
      </c>
      <c r="K100" s="11">
        <v>1.43</v>
      </c>
      <c r="L100" s="623">
        <v>2.0699999999999998</v>
      </c>
      <c r="M100" s="656">
        <f t="shared" ref="M100:M110" si="24">(D100*(E100-E100*F100)+G100*((H100+I100)-(H100+I100)*J100)/2+K100*L100)*1.015</f>
        <v>8.5536587500000003</v>
      </c>
      <c r="N100" s="11" t="s">
        <v>42</v>
      </c>
      <c r="O100" s="234">
        <v>45323</v>
      </c>
    </row>
    <row r="101" spans="1:15">
      <c r="A101" s="152"/>
      <c r="B101" s="11"/>
      <c r="C101" s="252" t="s">
        <v>980</v>
      </c>
      <c r="D101" s="11">
        <v>1.1000000000000001</v>
      </c>
      <c r="E101" s="11">
        <v>6.51</v>
      </c>
      <c r="F101" s="12">
        <f t="shared" ref="F101:F110" si="25">F100</f>
        <v>0.35</v>
      </c>
      <c r="G101" s="11">
        <v>0.8</v>
      </c>
      <c r="H101" s="11">
        <v>1.78</v>
      </c>
      <c r="I101" s="11">
        <v>1.1299999999999999</v>
      </c>
      <c r="J101" s="12">
        <f t="shared" ref="J101:J110" si="26">J100</f>
        <v>0.35</v>
      </c>
      <c r="K101" s="11">
        <v>1.43</v>
      </c>
      <c r="L101" s="623">
        <v>2.2999999999999998</v>
      </c>
      <c r="M101" s="656">
        <f t="shared" si="24"/>
        <v>8.8307537499999995</v>
      </c>
      <c r="N101" s="11" t="s">
        <v>42</v>
      </c>
      <c r="O101" s="234">
        <v>45323</v>
      </c>
    </row>
    <row r="102" spans="1:15">
      <c r="A102" s="152"/>
      <c r="B102" s="11"/>
      <c r="C102" s="252" t="s">
        <v>981</v>
      </c>
      <c r="D102" s="11">
        <v>1.08</v>
      </c>
      <c r="E102" s="11">
        <v>11.17</v>
      </c>
      <c r="F102" s="12">
        <f t="shared" si="25"/>
        <v>0.35</v>
      </c>
      <c r="G102" s="11">
        <v>0.8</v>
      </c>
      <c r="H102" s="11">
        <v>3.1</v>
      </c>
      <c r="I102" s="11">
        <v>1.79</v>
      </c>
      <c r="J102" s="12">
        <f t="shared" si="26"/>
        <v>0.35</v>
      </c>
      <c r="K102" s="11">
        <v>1.25</v>
      </c>
      <c r="L102" s="623">
        <v>2.76</v>
      </c>
      <c r="M102" s="656">
        <f t="shared" si="24"/>
        <v>12.751181099999998</v>
      </c>
      <c r="N102" s="11" t="s">
        <v>42</v>
      </c>
      <c r="O102" s="234">
        <v>45323</v>
      </c>
    </row>
    <row r="103" spans="1:15">
      <c r="A103" s="152"/>
      <c r="B103" s="11"/>
      <c r="C103" s="252" t="s">
        <v>982</v>
      </c>
      <c r="D103" s="11">
        <v>1.08</v>
      </c>
      <c r="E103" s="11">
        <v>17.38</v>
      </c>
      <c r="F103" s="12">
        <f t="shared" si="25"/>
        <v>0.35</v>
      </c>
      <c r="G103" s="11">
        <v>0.7</v>
      </c>
      <c r="H103" s="11">
        <v>5.85</v>
      </c>
      <c r="I103" s="11">
        <v>3.73</v>
      </c>
      <c r="J103" s="12">
        <f t="shared" si="26"/>
        <v>0.35</v>
      </c>
      <c r="K103" s="11">
        <v>1.1100000000000001</v>
      </c>
      <c r="L103" s="623">
        <v>3.7374999999999998</v>
      </c>
      <c r="M103" s="656">
        <f t="shared" si="24"/>
        <v>18.806767524999998</v>
      </c>
      <c r="N103" s="11" t="s">
        <v>42</v>
      </c>
      <c r="O103" s="234">
        <v>45323</v>
      </c>
    </row>
    <row r="104" spans="1:15">
      <c r="A104" s="152"/>
      <c r="B104" s="11"/>
      <c r="C104" s="252" t="s">
        <v>983</v>
      </c>
      <c r="D104" s="11">
        <v>1.08</v>
      </c>
      <c r="E104" s="11">
        <v>26.62</v>
      </c>
      <c r="F104" s="12">
        <f t="shared" si="25"/>
        <v>0.35</v>
      </c>
      <c r="G104" s="11">
        <v>0.6</v>
      </c>
      <c r="H104" s="11">
        <v>12.12</v>
      </c>
      <c r="I104" s="11">
        <v>6.08</v>
      </c>
      <c r="J104" s="12">
        <f t="shared" si="26"/>
        <v>0.35</v>
      </c>
      <c r="K104" s="11">
        <v>1</v>
      </c>
      <c r="L104" s="623">
        <v>4.6229999999999993</v>
      </c>
      <c r="M104" s="656">
        <f t="shared" si="24"/>
        <v>27.262128599999997</v>
      </c>
      <c r="N104" s="11" t="s">
        <v>42</v>
      </c>
      <c r="O104" s="234">
        <v>45323</v>
      </c>
    </row>
    <row r="105" spans="1:15">
      <c r="A105" s="152"/>
      <c r="B105" s="11"/>
      <c r="C105" s="252" t="s">
        <v>984</v>
      </c>
      <c r="D105" s="11">
        <v>1.08</v>
      </c>
      <c r="E105" s="11">
        <v>42.71</v>
      </c>
      <c r="F105" s="12">
        <f t="shared" si="25"/>
        <v>0.35</v>
      </c>
      <c r="G105" s="11">
        <v>0.6</v>
      </c>
      <c r="H105" s="11">
        <v>16.72</v>
      </c>
      <c r="I105" s="11">
        <v>11.73</v>
      </c>
      <c r="J105" s="12">
        <f t="shared" si="26"/>
        <v>0.35</v>
      </c>
      <c r="K105" s="11">
        <v>0.9</v>
      </c>
      <c r="L105" s="623">
        <v>5.6004999999999994</v>
      </c>
      <c r="M105" s="656">
        <f t="shared" si="24"/>
        <v>41.179179300000001</v>
      </c>
      <c r="N105" s="11" t="s">
        <v>42</v>
      </c>
      <c r="O105" s="234">
        <v>45323</v>
      </c>
    </row>
    <row r="106" spans="1:15">
      <c r="A106" s="152"/>
      <c r="B106" s="11"/>
      <c r="C106" s="252" t="s">
        <v>985</v>
      </c>
      <c r="D106" s="11">
        <v>1.08</v>
      </c>
      <c r="E106" s="11">
        <v>64.290000000000006</v>
      </c>
      <c r="F106" s="12">
        <f t="shared" si="25"/>
        <v>0.35</v>
      </c>
      <c r="G106" s="11">
        <v>0.6</v>
      </c>
      <c r="H106" s="11">
        <v>38.75</v>
      </c>
      <c r="I106" s="11">
        <v>21.5</v>
      </c>
      <c r="J106" s="12">
        <f t="shared" si="26"/>
        <v>0.35</v>
      </c>
      <c r="K106" s="11">
        <v>0.8</v>
      </c>
      <c r="L106" s="623">
        <v>7.6475</v>
      </c>
      <c r="M106" s="656">
        <f t="shared" si="24"/>
        <v>63.943304950000005</v>
      </c>
      <c r="N106" s="11" t="s">
        <v>42</v>
      </c>
      <c r="O106" s="234">
        <v>45323</v>
      </c>
    </row>
    <row r="107" spans="1:15">
      <c r="A107" s="152"/>
      <c r="B107" s="11"/>
      <c r="C107" s="252" t="s">
        <v>986</v>
      </c>
      <c r="D107" s="11">
        <v>1.06</v>
      </c>
      <c r="E107" s="11">
        <v>107.4</v>
      </c>
      <c r="F107" s="12">
        <f t="shared" si="25"/>
        <v>0.35</v>
      </c>
      <c r="G107" s="11">
        <v>0.5</v>
      </c>
      <c r="H107" s="11">
        <v>69.709999999999994</v>
      </c>
      <c r="I107" s="11">
        <v>47.87</v>
      </c>
      <c r="J107" s="12">
        <f t="shared" si="26"/>
        <v>0.35</v>
      </c>
      <c r="K107" s="11">
        <v>0.7</v>
      </c>
      <c r="L107" s="623">
        <v>8.8779999999999983</v>
      </c>
      <c r="M107" s="656">
        <f t="shared" si="24"/>
        <v>100.80974925000001</v>
      </c>
      <c r="N107" s="11" t="s">
        <v>42</v>
      </c>
      <c r="O107" s="234">
        <v>45323</v>
      </c>
    </row>
    <row r="108" spans="1:15">
      <c r="A108" s="152"/>
      <c r="B108" s="11"/>
      <c r="C108" s="252" t="s">
        <v>987</v>
      </c>
      <c r="D108" s="11">
        <v>1.06</v>
      </c>
      <c r="E108" s="11">
        <v>154.96</v>
      </c>
      <c r="F108" s="12">
        <f t="shared" si="25"/>
        <v>0.35</v>
      </c>
      <c r="G108" s="11">
        <v>0.4</v>
      </c>
      <c r="H108" s="11">
        <v>114.38</v>
      </c>
      <c r="I108" s="11">
        <v>109.62</v>
      </c>
      <c r="J108" s="12">
        <f t="shared" si="26"/>
        <v>0.35</v>
      </c>
      <c r="K108" s="11">
        <v>0.6</v>
      </c>
      <c r="L108" s="623">
        <v>10.419</v>
      </c>
      <c r="M108" s="656">
        <f t="shared" si="24"/>
        <v>144.27092260000001</v>
      </c>
      <c r="N108" s="11" t="s">
        <v>42</v>
      </c>
      <c r="O108" s="234">
        <v>45323</v>
      </c>
    </row>
    <row r="109" spans="1:15">
      <c r="A109" s="152"/>
      <c r="B109" s="11"/>
      <c r="C109" s="252" t="s">
        <v>988</v>
      </c>
      <c r="D109" s="11">
        <v>1.06</v>
      </c>
      <c r="E109" s="11">
        <v>220.89</v>
      </c>
      <c r="F109" s="12">
        <f t="shared" si="25"/>
        <v>0.35</v>
      </c>
      <c r="G109" s="11">
        <v>0.4</v>
      </c>
      <c r="H109" s="11">
        <v>155.79</v>
      </c>
      <c r="I109" s="11">
        <v>146.13</v>
      </c>
      <c r="J109" s="12">
        <f t="shared" si="26"/>
        <v>0.35</v>
      </c>
      <c r="K109" s="11">
        <v>0.6</v>
      </c>
      <c r="L109" s="623">
        <v>13.742499999999998</v>
      </c>
      <c r="M109" s="656">
        <f t="shared" si="24"/>
        <v>202.68363464999999</v>
      </c>
      <c r="N109" s="11" t="s">
        <v>42</v>
      </c>
      <c r="O109" s="234">
        <v>45323</v>
      </c>
    </row>
    <row r="110" spans="1:15">
      <c r="A110" s="152"/>
      <c r="B110" s="11"/>
      <c r="C110" s="252" t="s">
        <v>989</v>
      </c>
      <c r="D110" s="11">
        <v>1.06</v>
      </c>
      <c r="E110" s="11">
        <v>254.04</v>
      </c>
      <c r="F110" s="12">
        <f t="shared" si="25"/>
        <v>0.35</v>
      </c>
      <c r="G110" s="11">
        <v>0.4</v>
      </c>
      <c r="H110" s="11">
        <v>222.48</v>
      </c>
      <c r="I110" s="11">
        <v>233.05</v>
      </c>
      <c r="J110" s="12">
        <f t="shared" si="26"/>
        <v>0.35</v>
      </c>
      <c r="K110" s="11">
        <v>0.5</v>
      </c>
      <c r="L110" s="623">
        <v>16.099999999999998</v>
      </c>
      <c r="M110" s="656">
        <f t="shared" si="24"/>
        <v>245.9369969</v>
      </c>
      <c r="N110" s="11" t="s">
        <v>42</v>
      </c>
      <c r="O110" s="234">
        <v>45323</v>
      </c>
    </row>
    <row r="111" spans="1:15">
      <c r="F111" s="6"/>
      <c r="J111" s="6"/>
      <c r="L111" s="642"/>
      <c r="M111" s="657"/>
    </row>
    <row r="112" spans="1:15" ht="15.75" thickBot="1">
      <c r="F112" s="6"/>
      <c r="J112" s="6"/>
      <c r="L112" s="642"/>
      <c r="M112" s="657"/>
    </row>
    <row r="113" spans="3:15" ht="30.75" thickBot="1">
      <c r="C113" s="254" t="s">
        <v>990</v>
      </c>
      <c r="D113" s="254" t="s">
        <v>611</v>
      </c>
      <c r="E113" s="254" t="s">
        <v>919</v>
      </c>
      <c r="F113" s="254" t="s">
        <v>613</v>
      </c>
      <c r="G113" s="254" t="s">
        <v>611</v>
      </c>
      <c r="H113" s="254" t="s">
        <v>614</v>
      </c>
      <c r="I113" s="254" t="s">
        <v>615</v>
      </c>
      <c r="J113" s="254" t="s">
        <v>613</v>
      </c>
      <c r="K113" s="254" t="s">
        <v>611</v>
      </c>
      <c r="L113" s="254" t="s">
        <v>616</v>
      </c>
      <c r="M113" s="659" t="s">
        <v>617</v>
      </c>
      <c r="N113" t="s">
        <v>42</v>
      </c>
      <c r="O113" s="248">
        <v>45323</v>
      </c>
    </row>
    <row r="114" spans="3:15">
      <c r="C114" s="255" t="s">
        <v>991</v>
      </c>
      <c r="D114" s="256">
        <v>1.1000000000000001</v>
      </c>
      <c r="E114" s="256">
        <v>5.4</v>
      </c>
      <c r="F114" s="257">
        <v>0.35</v>
      </c>
      <c r="G114" s="256">
        <v>0.8</v>
      </c>
      <c r="H114" s="256">
        <v>3.63</v>
      </c>
      <c r="I114" s="256">
        <v>2.2999999999999998</v>
      </c>
      <c r="J114" s="257">
        <v>0.35</v>
      </c>
      <c r="K114" s="256">
        <v>1.43</v>
      </c>
      <c r="L114" s="660">
        <v>2.0699999999999998</v>
      </c>
      <c r="M114" s="661">
        <f t="shared" ref="M114:M120" si="27">(D114*(E114-E114*F114)+G114*((H114+I114)-(H114+I114)*J114)/2+K114*L114)*1.015</f>
        <v>8.4883434999999992</v>
      </c>
      <c r="N114" t="s">
        <v>42</v>
      </c>
      <c r="O114" s="248">
        <v>45323</v>
      </c>
    </row>
    <row r="115" spans="3:15">
      <c r="C115" s="258" t="s">
        <v>992</v>
      </c>
      <c r="D115" s="259">
        <v>1.1000000000000001</v>
      </c>
      <c r="E115" s="259">
        <v>6.97</v>
      </c>
      <c r="F115" s="260">
        <f t="shared" ref="F115:F120" si="28">F114</f>
        <v>0.35</v>
      </c>
      <c r="G115" s="259">
        <v>0.8</v>
      </c>
      <c r="H115" s="259">
        <v>1.78</v>
      </c>
      <c r="I115" s="259">
        <v>1.1299999999999999</v>
      </c>
      <c r="J115" s="260">
        <f t="shared" ref="J115:J120" si="29">J114</f>
        <v>0.35</v>
      </c>
      <c r="K115" s="259">
        <v>1.43</v>
      </c>
      <c r="L115" s="662">
        <v>2.2999999999999998</v>
      </c>
      <c r="M115" s="663">
        <f t="shared" si="27"/>
        <v>9.1645872499999985</v>
      </c>
      <c r="N115" t="s">
        <v>42</v>
      </c>
      <c r="O115" s="248">
        <v>45323</v>
      </c>
    </row>
    <row r="116" spans="3:15">
      <c r="C116" s="258" t="s">
        <v>993</v>
      </c>
      <c r="D116" s="259">
        <v>1.08</v>
      </c>
      <c r="E116" s="259">
        <v>11.47</v>
      </c>
      <c r="F116" s="260">
        <f t="shared" si="28"/>
        <v>0.35</v>
      </c>
      <c r="G116" s="259">
        <v>0.8</v>
      </c>
      <c r="H116" s="259">
        <v>3.1</v>
      </c>
      <c r="I116" s="259">
        <v>1.79</v>
      </c>
      <c r="J116" s="260">
        <f t="shared" si="29"/>
        <v>0.35</v>
      </c>
      <c r="K116" s="259">
        <v>1.25</v>
      </c>
      <c r="L116" s="662">
        <v>2.76</v>
      </c>
      <c r="M116" s="663">
        <f t="shared" si="27"/>
        <v>12.9649401</v>
      </c>
      <c r="N116" t="s">
        <v>42</v>
      </c>
      <c r="O116" s="248">
        <v>45323</v>
      </c>
    </row>
    <row r="117" spans="3:15">
      <c r="C117" s="258" t="s">
        <v>994</v>
      </c>
      <c r="D117" s="259">
        <v>1.08</v>
      </c>
      <c r="E117" s="259">
        <v>18.5</v>
      </c>
      <c r="F117" s="260">
        <f t="shared" si="28"/>
        <v>0.35</v>
      </c>
      <c r="G117" s="259">
        <v>0.7</v>
      </c>
      <c r="H117" s="259">
        <v>5.85</v>
      </c>
      <c r="I117" s="259">
        <v>3.73</v>
      </c>
      <c r="J117" s="260">
        <f t="shared" si="29"/>
        <v>0.35</v>
      </c>
      <c r="K117" s="259">
        <v>1.1100000000000001</v>
      </c>
      <c r="L117" s="662">
        <v>3.7374999999999998</v>
      </c>
      <c r="M117" s="663">
        <f t="shared" si="27"/>
        <v>19.604801124999998</v>
      </c>
      <c r="N117" t="s">
        <v>42</v>
      </c>
      <c r="O117" s="248">
        <v>45323</v>
      </c>
    </row>
    <row r="118" spans="3:15">
      <c r="C118" s="258" t="s">
        <v>995</v>
      </c>
      <c r="D118" s="259">
        <v>1.08</v>
      </c>
      <c r="E118" s="259">
        <v>32.880000000000003</v>
      </c>
      <c r="F118" s="260">
        <f t="shared" si="28"/>
        <v>0.35</v>
      </c>
      <c r="G118" s="259">
        <v>0.6</v>
      </c>
      <c r="H118" s="259">
        <v>12.12</v>
      </c>
      <c r="I118" s="259">
        <v>6.08</v>
      </c>
      <c r="J118" s="260">
        <f t="shared" si="29"/>
        <v>0.35</v>
      </c>
      <c r="K118" s="259">
        <v>1</v>
      </c>
      <c r="L118" s="662">
        <v>4.6229999999999993</v>
      </c>
      <c r="M118" s="663">
        <f t="shared" si="27"/>
        <v>31.722566399999998</v>
      </c>
      <c r="N118" t="s">
        <v>42</v>
      </c>
      <c r="O118" s="248">
        <v>45323</v>
      </c>
    </row>
    <row r="119" spans="3:15">
      <c r="C119" s="258" t="s">
        <v>996</v>
      </c>
      <c r="D119" s="259">
        <v>1.08</v>
      </c>
      <c r="E119" s="259">
        <v>51.25</v>
      </c>
      <c r="F119" s="260">
        <f t="shared" si="28"/>
        <v>0.35</v>
      </c>
      <c r="G119" s="259">
        <v>0.6</v>
      </c>
      <c r="H119" s="259">
        <v>16.72</v>
      </c>
      <c r="I119" s="259">
        <v>11.73</v>
      </c>
      <c r="J119" s="260">
        <f t="shared" si="29"/>
        <v>0.35</v>
      </c>
      <c r="K119" s="259">
        <v>0.9</v>
      </c>
      <c r="L119" s="662">
        <v>5.6004999999999994</v>
      </c>
      <c r="M119" s="663">
        <f t="shared" si="27"/>
        <v>47.264185499999996</v>
      </c>
      <c r="N119" t="s">
        <v>42</v>
      </c>
      <c r="O119" s="248">
        <v>45323</v>
      </c>
    </row>
    <row r="120" spans="3:15" ht="15.75" thickBot="1">
      <c r="C120" s="261" t="s">
        <v>997</v>
      </c>
      <c r="D120" s="262">
        <v>1.08</v>
      </c>
      <c r="E120" s="262">
        <v>77.69</v>
      </c>
      <c r="F120" s="263">
        <f t="shared" si="28"/>
        <v>0.35</v>
      </c>
      <c r="G120" s="262">
        <v>0.6</v>
      </c>
      <c r="H120" s="262">
        <v>38.75</v>
      </c>
      <c r="I120" s="262">
        <v>21.5</v>
      </c>
      <c r="J120" s="263">
        <f t="shared" si="29"/>
        <v>0.35</v>
      </c>
      <c r="K120" s="262">
        <v>0.8</v>
      </c>
      <c r="L120" s="664">
        <v>7.6475</v>
      </c>
      <c r="M120" s="665">
        <f t="shared" si="27"/>
        <v>73.491206949999992</v>
      </c>
      <c r="N120" t="s">
        <v>42</v>
      </c>
      <c r="O120" s="248">
        <v>45323</v>
      </c>
    </row>
    <row r="121" spans="3:15" ht="15.75" thickBot="1"/>
    <row r="122" spans="3:15" ht="30.75" thickBot="1">
      <c r="C122" s="254" t="s">
        <v>998</v>
      </c>
      <c r="D122" s="254" t="s">
        <v>611</v>
      </c>
      <c r="E122" s="254" t="s">
        <v>919</v>
      </c>
      <c r="F122" s="254" t="s">
        <v>613</v>
      </c>
      <c r="G122" s="254" t="s">
        <v>611</v>
      </c>
      <c r="H122" s="254" t="s">
        <v>614</v>
      </c>
      <c r="I122" s="254" t="s">
        <v>615</v>
      </c>
      <c r="J122" s="254" t="s">
        <v>613</v>
      </c>
      <c r="K122" s="254" t="s">
        <v>611</v>
      </c>
      <c r="L122" s="254" t="s">
        <v>616</v>
      </c>
      <c r="M122" s="666" t="s">
        <v>617</v>
      </c>
      <c r="N122" t="s">
        <v>42</v>
      </c>
      <c r="O122" s="248">
        <v>45323</v>
      </c>
    </row>
    <row r="123" spans="3:15">
      <c r="C123" s="255" t="s">
        <v>979</v>
      </c>
      <c r="D123" s="256">
        <v>1.1000000000000001</v>
      </c>
      <c r="E123" s="256">
        <v>12.32</v>
      </c>
      <c r="F123" s="257">
        <v>0.35</v>
      </c>
      <c r="G123" s="256">
        <v>0.8</v>
      </c>
      <c r="H123" s="256">
        <v>3.63</v>
      </c>
      <c r="I123" s="256">
        <v>2.2999999999999998</v>
      </c>
      <c r="J123" s="257">
        <v>0.35</v>
      </c>
      <c r="K123" s="256">
        <v>1.43</v>
      </c>
      <c r="L123" s="660">
        <v>2.0699999999999998</v>
      </c>
      <c r="M123" s="667">
        <f t="shared" ref="M123:M132" si="30">(D123*(E123-E123*F123)+G123*((H123+I123)-(H123+I123)*J123)/2+K123*L123)*1.015</f>
        <v>13.510360499999999</v>
      </c>
      <c r="N123" t="s">
        <v>42</v>
      </c>
      <c r="O123" s="248">
        <v>45323</v>
      </c>
    </row>
    <row r="124" spans="3:15">
      <c r="C124" s="258" t="s">
        <v>980</v>
      </c>
      <c r="D124" s="259">
        <v>1.1000000000000001</v>
      </c>
      <c r="E124" s="259">
        <v>14.45</v>
      </c>
      <c r="F124" s="260">
        <f t="shared" ref="F124:F132" si="31">F123</f>
        <v>0.35</v>
      </c>
      <c r="G124" s="259">
        <v>0.8</v>
      </c>
      <c r="H124" s="259">
        <v>1.78</v>
      </c>
      <c r="I124" s="259">
        <v>1.1299999999999999</v>
      </c>
      <c r="J124" s="260">
        <f t="shared" ref="J124:J132" si="32">J123</f>
        <v>0.35</v>
      </c>
      <c r="K124" s="259">
        <v>1.43</v>
      </c>
      <c r="L124" s="662">
        <v>2.2999999999999998</v>
      </c>
      <c r="M124" s="668">
        <f t="shared" si="30"/>
        <v>14.593010250000001</v>
      </c>
      <c r="N124" t="s">
        <v>42</v>
      </c>
      <c r="O124" s="248">
        <v>45323</v>
      </c>
    </row>
    <row r="125" spans="3:15">
      <c r="C125" s="258" t="s">
        <v>981</v>
      </c>
      <c r="D125" s="259">
        <v>1.08</v>
      </c>
      <c r="E125" s="259">
        <v>22.23</v>
      </c>
      <c r="F125" s="260">
        <f t="shared" si="31"/>
        <v>0.35</v>
      </c>
      <c r="G125" s="259">
        <v>0.8</v>
      </c>
      <c r="H125" s="259">
        <v>3.1</v>
      </c>
      <c r="I125" s="259">
        <v>1.79</v>
      </c>
      <c r="J125" s="260">
        <f t="shared" si="32"/>
        <v>0.35</v>
      </c>
      <c r="K125" s="259">
        <v>1.25</v>
      </c>
      <c r="L125" s="662">
        <v>2.76</v>
      </c>
      <c r="M125" s="668">
        <f t="shared" si="30"/>
        <v>20.631762899999998</v>
      </c>
      <c r="N125" t="s">
        <v>42</v>
      </c>
      <c r="O125" s="248">
        <v>45323</v>
      </c>
    </row>
    <row r="126" spans="3:15">
      <c r="C126" s="258" t="s">
        <v>982</v>
      </c>
      <c r="D126" s="259">
        <v>1.08</v>
      </c>
      <c r="E126" s="259">
        <v>31.41</v>
      </c>
      <c r="F126" s="260">
        <f t="shared" si="31"/>
        <v>0.35</v>
      </c>
      <c r="G126" s="259">
        <v>0.7</v>
      </c>
      <c r="H126" s="259">
        <v>5.85</v>
      </c>
      <c r="I126" s="259">
        <v>3.73</v>
      </c>
      <c r="J126" s="260">
        <f t="shared" si="32"/>
        <v>0.35</v>
      </c>
      <c r="K126" s="259">
        <v>1.1100000000000001</v>
      </c>
      <c r="L126" s="662">
        <v>3.7374999999999998</v>
      </c>
      <c r="M126" s="668">
        <f t="shared" si="30"/>
        <v>28.803563424999997</v>
      </c>
      <c r="N126" t="s">
        <v>42</v>
      </c>
      <c r="O126" s="248">
        <v>45323</v>
      </c>
    </row>
    <row r="127" spans="3:15">
      <c r="C127" s="258" t="s">
        <v>983</v>
      </c>
      <c r="D127" s="259">
        <v>1.08</v>
      </c>
      <c r="E127" s="259">
        <v>44.28</v>
      </c>
      <c r="F127" s="260">
        <f t="shared" si="31"/>
        <v>0.35</v>
      </c>
      <c r="G127" s="259">
        <v>0.6</v>
      </c>
      <c r="H127" s="259">
        <v>12.12</v>
      </c>
      <c r="I127" s="259">
        <v>6.08</v>
      </c>
      <c r="J127" s="260">
        <f t="shared" si="32"/>
        <v>0.35</v>
      </c>
      <c r="K127" s="259">
        <v>1</v>
      </c>
      <c r="L127" s="662">
        <v>4.6229999999999993</v>
      </c>
      <c r="M127" s="668">
        <f t="shared" si="30"/>
        <v>39.845408400000004</v>
      </c>
      <c r="N127" t="s">
        <v>42</v>
      </c>
      <c r="O127" s="248">
        <v>45323</v>
      </c>
    </row>
    <row r="128" spans="3:15">
      <c r="C128" s="258" t="s">
        <v>984</v>
      </c>
      <c r="D128" s="259">
        <v>1.08</v>
      </c>
      <c r="E128" s="259">
        <v>64.64</v>
      </c>
      <c r="F128" s="260">
        <f t="shared" si="31"/>
        <v>0.35</v>
      </c>
      <c r="G128" s="259">
        <v>0.6</v>
      </c>
      <c r="H128" s="259">
        <v>16.72</v>
      </c>
      <c r="I128" s="259">
        <v>11.73</v>
      </c>
      <c r="J128" s="260">
        <f t="shared" si="32"/>
        <v>0.35</v>
      </c>
      <c r="K128" s="259">
        <v>0.9</v>
      </c>
      <c r="L128" s="662">
        <v>5.6004999999999994</v>
      </c>
      <c r="M128" s="668">
        <f t="shared" si="30"/>
        <v>56.804962199999999</v>
      </c>
      <c r="N128" t="s">
        <v>42</v>
      </c>
      <c r="O128" s="248">
        <v>45323</v>
      </c>
    </row>
    <row r="129" spans="3:15">
      <c r="C129" s="258" t="s">
        <v>985</v>
      </c>
      <c r="D129" s="259">
        <v>1.08</v>
      </c>
      <c r="E129" s="259">
        <v>98.43</v>
      </c>
      <c r="F129" s="260">
        <f t="shared" si="31"/>
        <v>0.35</v>
      </c>
      <c r="G129" s="259">
        <v>0.6</v>
      </c>
      <c r="H129" s="259">
        <v>38.75</v>
      </c>
      <c r="I129" s="259">
        <v>21.5</v>
      </c>
      <c r="J129" s="260">
        <f t="shared" si="32"/>
        <v>0.35</v>
      </c>
      <c r="K129" s="259">
        <v>0.8</v>
      </c>
      <c r="L129" s="662">
        <v>7.6475</v>
      </c>
      <c r="M129" s="668">
        <f t="shared" si="30"/>
        <v>88.269079149999996</v>
      </c>
      <c r="N129" t="s">
        <v>42</v>
      </c>
      <c r="O129" s="248">
        <v>45323</v>
      </c>
    </row>
    <row r="130" spans="3:15">
      <c r="C130" s="258" t="s">
        <v>999</v>
      </c>
      <c r="D130" s="259">
        <v>1.06</v>
      </c>
      <c r="E130" s="259">
        <v>143.08000000000001</v>
      </c>
      <c r="F130" s="260">
        <f t="shared" si="31"/>
        <v>0.35</v>
      </c>
      <c r="G130" s="259">
        <v>0.5</v>
      </c>
      <c r="H130" s="259">
        <v>69.709999999999994</v>
      </c>
      <c r="I130" s="259">
        <v>47.87</v>
      </c>
      <c r="J130" s="260">
        <f t="shared" si="32"/>
        <v>0.35</v>
      </c>
      <c r="K130" s="259">
        <v>0.7</v>
      </c>
      <c r="L130" s="662">
        <v>8.8779999999999983</v>
      </c>
      <c r="M130" s="668">
        <f t="shared" si="30"/>
        <v>125.76202205</v>
      </c>
      <c r="N130" t="s">
        <v>42</v>
      </c>
      <c r="O130" s="248">
        <v>45323</v>
      </c>
    </row>
    <row r="131" spans="3:15">
      <c r="C131" s="258" t="s">
        <v>1000</v>
      </c>
      <c r="D131" s="259">
        <v>1.06</v>
      </c>
      <c r="E131" s="259">
        <v>256.69</v>
      </c>
      <c r="F131" s="260">
        <f t="shared" si="31"/>
        <v>0.35</v>
      </c>
      <c r="G131" s="259">
        <v>0.4</v>
      </c>
      <c r="H131" s="259">
        <v>114.38</v>
      </c>
      <c r="I131" s="259">
        <v>109.62</v>
      </c>
      <c r="J131" s="260">
        <f t="shared" si="32"/>
        <v>0.35</v>
      </c>
      <c r="K131" s="259">
        <v>0.6</v>
      </c>
      <c r="L131" s="662">
        <v>10.419</v>
      </c>
      <c r="M131" s="668">
        <f t="shared" si="30"/>
        <v>215.41427214999996</v>
      </c>
      <c r="N131" t="s">
        <v>42</v>
      </c>
      <c r="O131" s="248">
        <v>45323</v>
      </c>
    </row>
    <row r="132" spans="3:15" ht="15.75" thickBot="1">
      <c r="C132" s="261" t="s">
        <v>1001</v>
      </c>
      <c r="D132" s="262">
        <v>1.06</v>
      </c>
      <c r="E132" s="262">
        <v>398.11</v>
      </c>
      <c r="F132" s="263">
        <f t="shared" si="31"/>
        <v>0.35</v>
      </c>
      <c r="G132" s="262">
        <v>0.4</v>
      </c>
      <c r="H132" s="262">
        <v>155.79</v>
      </c>
      <c r="I132" s="262">
        <v>146.13</v>
      </c>
      <c r="J132" s="263">
        <f t="shared" si="32"/>
        <v>0.35</v>
      </c>
      <c r="K132" s="262">
        <v>0.6</v>
      </c>
      <c r="L132" s="664">
        <v>13.742499999999998</v>
      </c>
      <c r="M132" s="669">
        <f t="shared" si="30"/>
        <v>326.61978335000003</v>
      </c>
      <c r="N132" t="s">
        <v>42</v>
      </c>
      <c r="O132" s="248">
        <v>45323</v>
      </c>
    </row>
    <row r="133" spans="3:15" ht="15.75" thickBot="1"/>
    <row r="134" spans="3:15" ht="30.75" thickBot="1">
      <c r="C134" s="254" t="s">
        <v>1002</v>
      </c>
      <c r="D134" s="254" t="s">
        <v>611</v>
      </c>
      <c r="E134" s="254" t="s">
        <v>919</v>
      </c>
      <c r="F134" s="254" t="s">
        <v>613</v>
      </c>
      <c r="G134" s="254" t="s">
        <v>611</v>
      </c>
      <c r="H134" s="254" t="s">
        <v>614</v>
      </c>
      <c r="I134" s="254" t="s">
        <v>615</v>
      </c>
      <c r="J134" s="254" t="s">
        <v>613</v>
      </c>
      <c r="K134" s="254" t="s">
        <v>611</v>
      </c>
      <c r="L134" s="254" t="s">
        <v>616</v>
      </c>
      <c r="M134" s="666" t="s">
        <v>617</v>
      </c>
      <c r="N134" t="s">
        <v>42</v>
      </c>
      <c r="O134" s="248">
        <v>45323</v>
      </c>
    </row>
    <row r="135" spans="3:15">
      <c r="C135" s="255" t="s">
        <v>980</v>
      </c>
      <c r="D135" s="256">
        <v>1.1000000000000001</v>
      </c>
      <c r="E135" s="256">
        <v>13.4</v>
      </c>
      <c r="F135" s="257">
        <v>0.35</v>
      </c>
      <c r="G135" s="256">
        <v>0.8</v>
      </c>
      <c r="H135" s="256">
        <v>1.78</v>
      </c>
      <c r="I135" s="256">
        <v>1.1299999999999999</v>
      </c>
      <c r="J135" s="257">
        <v>0.35</v>
      </c>
      <c r="K135" s="256">
        <v>1.43</v>
      </c>
      <c r="L135" s="660">
        <v>2.2999999999999998</v>
      </c>
      <c r="M135" s="667">
        <f t="shared" ref="M135:M144" si="33">(D135*(E135-E135*F135)+G135*((H135+I135)-(H135+I135)*J135)/2+K135*L135)*1.015</f>
        <v>13.830999</v>
      </c>
      <c r="N135" t="s">
        <v>42</v>
      </c>
      <c r="O135" s="248">
        <v>45323</v>
      </c>
    </row>
    <row r="136" spans="3:15">
      <c r="C136" s="258" t="s">
        <v>981</v>
      </c>
      <c r="D136" s="259">
        <v>1.08</v>
      </c>
      <c r="E136" s="259">
        <v>19.11</v>
      </c>
      <c r="F136" s="260">
        <f t="shared" ref="F136:F144" si="34">F135</f>
        <v>0.35</v>
      </c>
      <c r="G136" s="259">
        <v>0.8</v>
      </c>
      <c r="H136" s="259">
        <v>3.1</v>
      </c>
      <c r="I136" s="259">
        <v>1.79</v>
      </c>
      <c r="J136" s="260">
        <v>0.35</v>
      </c>
      <c r="K136" s="259">
        <v>1.25</v>
      </c>
      <c r="L136" s="662">
        <v>2.76</v>
      </c>
      <c r="M136" s="668">
        <f t="shared" si="33"/>
        <v>18.4086693</v>
      </c>
      <c r="N136" t="s">
        <v>42</v>
      </c>
      <c r="O136" s="248">
        <v>45323</v>
      </c>
    </row>
    <row r="137" spans="3:15">
      <c r="C137" s="258" t="s">
        <v>982</v>
      </c>
      <c r="D137" s="259">
        <v>1.08</v>
      </c>
      <c r="E137" s="259">
        <v>29.65</v>
      </c>
      <c r="F137" s="260">
        <f t="shared" si="34"/>
        <v>0.35</v>
      </c>
      <c r="G137" s="259">
        <v>0.7</v>
      </c>
      <c r="H137" s="259">
        <v>5.85</v>
      </c>
      <c r="I137" s="259">
        <v>3.73</v>
      </c>
      <c r="J137" s="260">
        <v>0.35</v>
      </c>
      <c r="K137" s="259">
        <v>1.1100000000000001</v>
      </c>
      <c r="L137" s="662">
        <v>3.7374999999999998</v>
      </c>
      <c r="M137" s="668">
        <f t="shared" si="33"/>
        <v>27.549510625</v>
      </c>
      <c r="N137" t="s">
        <v>42</v>
      </c>
      <c r="O137" s="248">
        <v>45323</v>
      </c>
    </row>
    <row r="138" spans="3:15">
      <c r="C138" s="258" t="s">
        <v>983</v>
      </c>
      <c r="D138" s="259">
        <v>1.08</v>
      </c>
      <c r="E138" s="259">
        <v>41.74</v>
      </c>
      <c r="F138" s="260">
        <f t="shared" si="34"/>
        <v>0.35</v>
      </c>
      <c r="G138" s="259">
        <v>0.6</v>
      </c>
      <c r="H138" s="259">
        <v>12.12</v>
      </c>
      <c r="I138" s="259">
        <v>6.08</v>
      </c>
      <c r="J138" s="260">
        <v>0.35</v>
      </c>
      <c r="K138" s="259">
        <v>1</v>
      </c>
      <c r="L138" s="662">
        <v>4.6229999999999993</v>
      </c>
      <c r="M138" s="668">
        <f t="shared" si="33"/>
        <v>38.0355822</v>
      </c>
      <c r="N138" t="s">
        <v>42</v>
      </c>
      <c r="O138" s="248">
        <v>45323</v>
      </c>
    </row>
    <row r="139" spans="3:15">
      <c r="C139" s="258" t="s">
        <v>984</v>
      </c>
      <c r="D139" s="259">
        <v>1.08</v>
      </c>
      <c r="E139" s="259">
        <v>70.14</v>
      </c>
      <c r="F139" s="260">
        <f t="shared" si="34"/>
        <v>0.35</v>
      </c>
      <c r="G139" s="259">
        <v>0.6</v>
      </c>
      <c r="H139" s="259">
        <v>16.72</v>
      </c>
      <c r="I139" s="259">
        <v>11.73</v>
      </c>
      <c r="J139" s="260">
        <v>0.35</v>
      </c>
      <c r="K139" s="259">
        <v>0.9</v>
      </c>
      <c r="L139" s="662">
        <v>5.6004999999999994</v>
      </c>
      <c r="M139" s="668">
        <f t="shared" si="33"/>
        <v>60.723877199999997</v>
      </c>
      <c r="N139" t="s">
        <v>42</v>
      </c>
      <c r="O139" s="248">
        <v>45323</v>
      </c>
    </row>
    <row r="140" spans="3:15">
      <c r="C140" s="258" t="s">
        <v>985</v>
      </c>
      <c r="D140" s="259">
        <v>1.08</v>
      </c>
      <c r="E140" s="259">
        <v>105.34</v>
      </c>
      <c r="F140" s="260">
        <f t="shared" si="34"/>
        <v>0.35</v>
      </c>
      <c r="G140" s="259">
        <v>0.6</v>
      </c>
      <c r="H140" s="259">
        <v>38.75</v>
      </c>
      <c r="I140" s="259">
        <v>21.5</v>
      </c>
      <c r="J140" s="260">
        <v>0.35</v>
      </c>
      <c r="K140" s="259">
        <v>0.8</v>
      </c>
      <c r="L140" s="662">
        <v>7.6475</v>
      </c>
      <c r="M140" s="668">
        <f t="shared" si="33"/>
        <v>93.192661450000003</v>
      </c>
      <c r="N140" t="s">
        <v>42</v>
      </c>
      <c r="O140" s="248">
        <v>45323</v>
      </c>
    </row>
    <row r="141" spans="3:15">
      <c r="C141" s="258" t="s">
        <v>999</v>
      </c>
      <c r="D141" s="259">
        <v>1.06</v>
      </c>
      <c r="E141" s="259">
        <v>142.32</v>
      </c>
      <c r="F141" s="260">
        <f t="shared" si="34"/>
        <v>0.35</v>
      </c>
      <c r="G141" s="259">
        <v>0.5</v>
      </c>
      <c r="H141" s="259">
        <v>69.709999999999994</v>
      </c>
      <c r="I141" s="259">
        <v>47.87</v>
      </c>
      <c r="J141" s="260">
        <v>0.35</v>
      </c>
      <c r="K141" s="259">
        <v>0.7</v>
      </c>
      <c r="L141" s="662">
        <v>8.8779999999999983</v>
      </c>
      <c r="M141" s="668">
        <f t="shared" si="33"/>
        <v>125.23052745</v>
      </c>
      <c r="N141" t="s">
        <v>42</v>
      </c>
      <c r="O141" s="248">
        <v>45323</v>
      </c>
    </row>
    <row r="142" spans="3:15">
      <c r="C142" s="258" t="s">
        <v>1000</v>
      </c>
      <c r="D142" s="259">
        <v>1.06</v>
      </c>
      <c r="E142" s="259">
        <v>257.39</v>
      </c>
      <c r="F142" s="260">
        <f t="shared" si="34"/>
        <v>0.35</v>
      </c>
      <c r="G142" s="259">
        <v>0.4</v>
      </c>
      <c r="H142" s="259">
        <v>114.38</v>
      </c>
      <c r="I142" s="259">
        <v>109.62</v>
      </c>
      <c r="J142" s="260">
        <v>0.35</v>
      </c>
      <c r="K142" s="259">
        <v>0.6</v>
      </c>
      <c r="L142" s="662">
        <v>10.419</v>
      </c>
      <c r="M142" s="668">
        <f t="shared" si="33"/>
        <v>215.90380664999998</v>
      </c>
      <c r="N142" t="s">
        <v>42</v>
      </c>
      <c r="O142" s="248">
        <v>45323</v>
      </c>
    </row>
    <row r="143" spans="3:15">
      <c r="C143" s="258" t="s">
        <v>1001</v>
      </c>
      <c r="D143" s="259">
        <v>1.06</v>
      </c>
      <c r="E143" s="259">
        <v>388.12</v>
      </c>
      <c r="F143" s="260">
        <f t="shared" si="34"/>
        <v>0.35</v>
      </c>
      <c r="G143" s="259">
        <v>0.4</v>
      </c>
      <c r="H143" s="259">
        <v>155.79</v>
      </c>
      <c r="I143" s="259">
        <v>146.13</v>
      </c>
      <c r="J143" s="260">
        <v>0.35</v>
      </c>
      <c r="K143" s="259">
        <v>0.6</v>
      </c>
      <c r="L143" s="662">
        <v>13.742499999999998</v>
      </c>
      <c r="M143" s="668">
        <f t="shared" si="33"/>
        <v>319.63342669999997</v>
      </c>
      <c r="N143" t="s">
        <v>42</v>
      </c>
      <c r="O143" s="248">
        <v>45323</v>
      </c>
    </row>
    <row r="144" spans="3:15" ht="15.75" thickBot="1">
      <c r="C144" s="261" t="s">
        <v>1003</v>
      </c>
      <c r="D144" s="262">
        <v>1.06</v>
      </c>
      <c r="E144" s="262">
        <v>429.95</v>
      </c>
      <c r="F144" s="263">
        <f t="shared" si="34"/>
        <v>0.35</v>
      </c>
      <c r="G144" s="262">
        <v>0.4</v>
      </c>
      <c r="H144" s="262">
        <v>222.48</v>
      </c>
      <c r="I144" s="262">
        <v>233.05</v>
      </c>
      <c r="J144" s="263">
        <v>0.35</v>
      </c>
      <c r="K144" s="262">
        <v>0.5</v>
      </c>
      <c r="L144" s="664">
        <v>16.099999999999998</v>
      </c>
      <c r="M144" s="669">
        <f t="shared" si="33"/>
        <v>368.95701674999998</v>
      </c>
      <c r="N144" t="s">
        <v>42</v>
      </c>
      <c r="O144" s="248">
        <v>45323</v>
      </c>
    </row>
    <row r="145" spans="3:15" ht="15.75" thickBot="1"/>
    <row r="146" spans="3:15" ht="15.75" thickBot="1">
      <c r="C146" s="254" t="s">
        <v>1004</v>
      </c>
      <c r="D146" s="254" t="s">
        <v>611</v>
      </c>
      <c r="E146" s="254" t="s">
        <v>919</v>
      </c>
      <c r="F146" s="254" t="s">
        <v>613</v>
      </c>
      <c r="G146" s="254" t="s">
        <v>611</v>
      </c>
      <c r="H146" s="254" t="s">
        <v>614</v>
      </c>
      <c r="I146" s="254" t="s">
        <v>615</v>
      </c>
      <c r="J146" s="254" t="s">
        <v>613</v>
      </c>
      <c r="K146" s="254" t="s">
        <v>611</v>
      </c>
      <c r="L146" s="254" t="s">
        <v>616</v>
      </c>
      <c r="M146" s="666" t="s">
        <v>617</v>
      </c>
      <c r="N146" t="s">
        <v>42</v>
      </c>
      <c r="O146" s="248">
        <v>45323</v>
      </c>
    </row>
    <row r="147" spans="3:15">
      <c r="C147" s="255" t="s">
        <v>979</v>
      </c>
      <c r="D147" s="256">
        <v>1.1000000000000001</v>
      </c>
      <c r="E147" s="256">
        <v>6.07</v>
      </c>
      <c r="F147" s="257">
        <v>0.35</v>
      </c>
      <c r="G147" s="256">
        <v>0.8</v>
      </c>
      <c r="H147" s="256">
        <v>3.63</v>
      </c>
      <c r="I147" s="256">
        <v>2.2999999999999998</v>
      </c>
      <c r="J147" s="257">
        <v>0.35</v>
      </c>
      <c r="K147" s="256">
        <v>1.43</v>
      </c>
      <c r="L147" s="660">
        <v>2.0699999999999998</v>
      </c>
      <c r="M147" s="667">
        <f t="shared" ref="M147:M157" si="35">(D147*(E147-E147*F147)+G147*((H147+I147)-(H147+I147)*J147)/2+K147*L147)*1.015</f>
        <v>8.9745792499999997</v>
      </c>
      <c r="N147" t="s">
        <v>42</v>
      </c>
      <c r="O147" s="248">
        <v>45323</v>
      </c>
    </row>
    <row r="148" spans="3:15">
      <c r="C148" s="258" t="s">
        <v>1005</v>
      </c>
      <c r="D148" s="259">
        <v>1.1000000000000001</v>
      </c>
      <c r="E148" s="259">
        <v>6.85</v>
      </c>
      <c r="F148" s="260">
        <f t="shared" ref="F148:F157" si="36">F147</f>
        <v>0.35</v>
      </c>
      <c r="G148" s="259">
        <v>0.8</v>
      </c>
      <c r="H148" s="259">
        <v>1.78</v>
      </c>
      <c r="I148" s="259">
        <v>1.1299999999999999</v>
      </c>
      <c r="J148" s="260">
        <f t="shared" ref="J148:J157" si="37">J147</f>
        <v>0.35</v>
      </c>
      <c r="K148" s="259">
        <v>1.43</v>
      </c>
      <c r="L148" s="662">
        <v>2.2999999999999998</v>
      </c>
      <c r="M148" s="668">
        <f t="shared" si="35"/>
        <v>9.0775002499999999</v>
      </c>
      <c r="N148" t="s">
        <v>42</v>
      </c>
      <c r="O148" s="248">
        <v>45323</v>
      </c>
    </row>
    <row r="149" spans="3:15">
      <c r="C149" s="258" t="s">
        <v>1006</v>
      </c>
      <c r="D149" s="259">
        <v>1.08</v>
      </c>
      <c r="E149" s="259">
        <v>11.29</v>
      </c>
      <c r="F149" s="260">
        <f t="shared" si="36"/>
        <v>0.35</v>
      </c>
      <c r="G149" s="259">
        <v>0.8</v>
      </c>
      <c r="H149" s="259">
        <v>3.1</v>
      </c>
      <c r="I149" s="259">
        <v>1.79</v>
      </c>
      <c r="J149" s="260">
        <f t="shared" si="37"/>
        <v>0.35</v>
      </c>
      <c r="K149" s="259">
        <v>1.25</v>
      </c>
      <c r="L149" s="662">
        <v>2.76</v>
      </c>
      <c r="M149" s="668">
        <f t="shared" si="35"/>
        <v>12.836684699999998</v>
      </c>
      <c r="N149" t="s">
        <v>42</v>
      </c>
      <c r="O149" s="248">
        <v>45323</v>
      </c>
    </row>
    <row r="150" spans="3:15">
      <c r="C150" s="258" t="s">
        <v>1007</v>
      </c>
      <c r="D150" s="259">
        <v>1.08</v>
      </c>
      <c r="E150" s="259">
        <v>18.190000000000001</v>
      </c>
      <c r="F150" s="260">
        <f t="shared" si="36"/>
        <v>0.35</v>
      </c>
      <c r="G150" s="259">
        <v>0.7</v>
      </c>
      <c r="H150" s="259">
        <v>5.85</v>
      </c>
      <c r="I150" s="259">
        <v>3.73</v>
      </c>
      <c r="J150" s="260">
        <f t="shared" si="37"/>
        <v>0.35</v>
      </c>
      <c r="K150" s="259">
        <v>1.1100000000000001</v>
      </c>
      <c r="L150" s="662">
        <v>3.7374999999999998</v>
      </c>
      <c r="M150" s="668">
        <f t="shared" si="35"/>
        <v>19.383916824999996</v>
      </c>
      <c r="N150" t="s">
        <v>42</v>
      </c>
      <c r="O150" s="248">
        <v>45323</v>
      </c>
    </row>
    <row r="151" spans="3:15">
      <c r="C151" s="258" t="s">
        <v>1008</v>
      </c>
      <c r="D151" s="259">
        <v>1.08</v>
      </c>
      <c r="E151" s="259">
        <v>32.29</v>
      </c>
      <c r="F151" s="260">
        <f t="shared" si="36"/>
        <v>0.35</v>
      </c>
      <c r="G151" s="259">
        <v>0.6</v>
      </c>
      <c r="H151" s="259">
        <v>12.12</v>
      </c>
      <c r="I151" s="259">
        <v>6.08</v>
      </c>
      <c r="J151" s="260">
        <f t="shared" si="37"/>
        <v>0.35</v>
      </c>
      <c r="K151" s="259">
        <v>1</v>
      </c>
      <c r="L151" s="662">
        <v>4.6229999999999993</v>
      </c>
      <c r="M151" s="668">
        <f t="shared" si="35"/>
        <v>31.302173700000001</v>
      </c>
      <c r="N151" t="s">
        <v>42</v>
      </c>
      <c r="O151" s="248">
        <v>45323</v>
      </c>
    </row>
    <row r="152" spans="3:15">
      <c r="C152" s="258" t="s">
        <v>1009</v>
      </c>
      <c r="D152" s="259">
        <v>1.08</v>
      </c>
      <c r="E152" s="259">
        <v>50.37</v>
      </c>
      <c r="F152" s="260">
        <f t="shared" si="36"/>
        <v>0.35</v>
      </c>
      <c r="G152" s="259">
        <v>0.6</v>
      </c>
      <c r="H152" s="259">
        <v>16.72</v>
      </c>
      <c r="I152" s="259">
        <v>11.73</v>
      </c>
      <c r="J152" s="260">
        <f t="shared" si="37"/>
        <v>0.35</v>
      </c>
      <c r="K152" s="259">
        <v>0.9</v>
      </c>
      <c r="L152" s="662">
        <v>5.6004999999999994</v>
      </c>
      <c r="M152" s="668">
        <f t="shared" si="35"/>
        <v>46.637159099999998</v>
      </c>
      <c r="N152" t="s">
        <v>42</v>
      </c>
      <c r="O152" s="248">
        <v>45323</v>
      </c>
    </row>
    <row r="153" spans="3:15">
      <c r="C153" s="258" t="s">
        <v>1010</v>
      </c>
      <c r="D153" s="259">
        <v>1.08</v>
      </c>
      <c r="E153" s="259">
        <v>76.36</v>
      </c>
      <c r="F153" s="260">
        <f t="shared" si="36"/>
        <v>0.35</v>
      </c>
      <c r="G153" s="259">
        <v>0.6</v>
      </c>
      <c r="H153" s="259">
        <v>38.75</v>
      </c>
      <c r="I153" s="259">
        <v>21.5</v>
      </c>
      <c r="J153" s="260">
        <f t="shared" si="37"/>
        <v>0.35</v>
      </c>
      <c r="K153" s="259">
        <v>0.8</v>
      </c>
      <c r="L153" s="662">
        <v>7.6475</v>
      </c>
      <c r="M153" s="668">
        <f t="shared" si="35"/>
        <v>72.543542049999985</v>
      </c>
      <c r="N153" t="s">
        <v>42</v>
      </c>
      <c r="O153" s="248">
        <v>45323</v>
      </c>
    </row>
    <row r="154" spans="3:15">
      <c r="C154" s="258" t="s">
        <v>999</v>
      </c>
      <c r="D154" s="259">
        <v>1.06</v>
      </c>
      <c r="E154" s="259">
        <v>107.73</v>
      </c>
      <c r="F154" s="260">
        <f t="shared" si="36"/>
        <v>0.35</v>
      </c>
      <c r="G154" s="259">
        <v>0.5</v>
      </c>
      <c r="H154" s="259">
        <v>69.709999999999994</v>
      </c>
      <c r="I154" s="259">
        <v>47.87</v>
      </c>
      <c r="J154" s="260">
        <f t="shared" si="37"/>
        <v>0.35</v>
      </c>
      <c r="K154" s="259">
        <v>0.7</v>
      </c>
      <c r="L154" s="662">
        <v>8.8779999999999983</v>
      </c>
      <c r="M154" s="668">
        <f t="shared" si="35"/>
        <v>101.04052979999999</v>
      </c>
      <c r="N154" t="s">
        <v>42</v>
      </c>
      <c r="O154" s="248">
        <v>45323</v>
      </c>
    </row>
    <row r="155" spans="3:15">
      <c r="C155" s="258" t="s">
        <v>1000</v>
      </c>
      <c r="D155" s="259">
        <v>1.06</v>
      </c>
      <c r="E155" s="259">
        <v>155.16999999999999</v>
      </c>
      <c r="F155" s="260">
        <f t="shared" si="36"/>
        <v>0.35</v>
      </c>
      <c r="G155" s="259">
        <v>0.4</v>
      </c>
      <c r="H155" s="259">
        <v>114.38</v>
      </c>
      <c r="I155" s="259">
        <v>109.62</v>
      </c>
      <c r="J155" s="260">
        <f t="shared" si="37"/>
        <v>0.35</v>
      </c>
      <c r="K155" s="259">
        <v>0.6</v>
      </c>
      <c r="L155" s="662">
        <v>10.419</v>
      </c>
      <c r="M155" s="668">
        <f t="shared" si="35"/>
        <v>144.41778294999997</v>
      </c>
      <c r="N155" t="s">
        <v>42</v>
      </c>
      <c r="O155" s="248">
        <v>45323</v>
      </c>
    </row>
    <row r="156" spans="3:15" ht="15.75" thickBot="1">
      <c r="C156" s="261" t="s">
        <v>1001</v>
      </c>
      <c r="D156" s="262">
        <v>1.06</v>
      </c>
      <c r="E156" s="262">
        <v>234.27</v>
      </c>
      <c r="F156" s="263">
        <f t="shared" si="36"/>
        <v>0.35</v>
      </c>
      <c r="G156" s="262">
        <v>0.4</v>
      </c>
      <c r="H156" s="262">
        <v>155.79</v>
      </c>
      <c r="I156" s="262">
        <v>146.13</v>
      </c>
      <c r="J156" s="263">
        <f t="shared" si="37"/>
        <v>0.35</v>
      </c>
      <c r="K156" s="262">
        <v>0.6</v>
      </c>
      <c r="L156" s="664">
        <v>13.742499999999998</v>
      </c>
      <c r="M156" s="669">
        <f t="shared" si="35"/>
        <v>212.04073695000002</v>
      </c>
      <c r="N156" t="s">
        <v>42</v>
      </c>
      <c r="O156" s="248">
        <v>45323</v>
      </c>
    </row>
    <row r="157" spans="3:15" ht="15.75" thickBot="1">
      <c r="C157" s="261" t="s">
        <v>1011</v>
      </c>
      <c r="D157" s="262">
        <v>1.06</v>
      </c>
      <c r="E157" s="262">
        <v>271.74</v>
      </c>
      <c r="F157" s="263">
        <f t="shared" si="36"/>
        <v>0.35</v>
      </c>
      <c r="G157" s="262">
        <v>0.4</v>
      </c>
      <c r="H157" s="262">
        <v>224.48</v>
      </c>
      <c r="I157" s="262">
        <v>233.35</v>
      </c>
      <c r="J157" s="263">
        <f t="shared" si="37"/>
        <v>0.35</v>
      </c>
      <c r="K157" s="262">
        <v>0.6</v>
      </c>
      <c r="L157" s="664">
        <v>13.742499999999998</v>
      </c>
      <c r="M157" s="669">
        <f t="shared" si="35"/>
        <v>258.81714390000002</v>
      </c>
      <c r="N157" t="s">
        <v>42</v>
      </c>
      <c r="O157" s="248">
        <v>45323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554B-C46C-443D-8B1F-FB4C07F1275C}">
  <dimension ref="A2:S71"/>
  <sheetViews>
    <sheetView workbookViewId="0">
      <selection activeCell="G9" sqref="G9"/>
    </sheetView>
  </sheetViews>
  <sheetFormatPr defaultRowHeight="15"/>
  <cols>
    <col min="1" max="1" width="19.140625" customWidth="1"/>
    <col min="2" max="2" width="12.42578125" customWidth="1"/>
    <col min="3" max="3" width="20.85546875" customWidth="1"/>
    <col min="4" max="5" width="10.42578125" customWidth="1"/>
    <col min="7" max="7" width="10.85546875" customWidth="1"/>
    <col min="9" max="9" width="9.85546875" bestFit="1" customWidth="1"/>
    <col min="14" max="14" width="9.42578125" customWidth="1"/>
    <col min="15" max="15" width="12" customWidth="1"/>
    <col min="16" max="16" width="13.28515625" customWidth="1"/>
    <col min="19" max="19" width="11.28515625" customWidth="1"/>
    <col min="20" max="20" width="13.140625" customWidth="1"/>
    <col min="257" max="257" width="19.140625" customWidth="1"/>
    <col min="258" max="258" width="12.42578125" customWidth="1"/>
    <col min="259" max="259" width="20.85546875" customWidth="1"/>
    <col min="260" max="261" width="10.42578125" customWidth="1"/>
    <col min="263" max="263" width="10.85546875" customWidth="1"/>
    <col min="265" max="265" width="9.85546875" bestFit="1" customWidth="1"/>
    <col min="270" max="270" width="9.42578125" customWidth="1"/>
    <col min="271" max="271" width="12" customWidth="1"/>
    <col min="272" max="272" width="13.28515625" customWidth="1"/>
    <col min="275" max="275" width="11.28515625" customWidth="1"/>
    <col min="276" max="276" width="13.140625" customWidth="1"/>
    <col min="513" max="513" width="19.140625" customWidth="1"/>
    <col min="514" max="514" width="12.42578125" customWidth="1"/>
    <col min="515" max="515" width="20.85546875" customWidth="1"/>
    <col min="516" max="517" width="10.42578125" customWidth="1"/>
    <col min="519" max="519" width="10.85546875" customWidth="1"/>
    <col min="521" max="521" width="9.85546875" bestFit="1" customWidth="1"/>
    <col min="526" max="526" width="9.42578125" customWidth="1"/>
    <col min="527" max="527" width="12" customWidth="1"/>
    <col min="528" max="528" width="13.28515625" customWidth="1"/>
    <col min="531" max="531" width="11.28515625" customWidth="1"/>
    <col min="532" max="532" width="13.140625" customWidth="1"/>
    <col min="769" max="769" width="19.140625" customWidth="1"/>
    <col min="770" max="770" width="12.42578125" customWidth="1"/>
    <col min="771" max="771" width="20.85546875" customWidth="1"/>
    <col min="772" max="773" width="10.42578125" customWidth="1"/>
    <col min="775" max="775" width="10.85546875" customWidth="1"/>
    <col min="777" max="777" width="9.85546875" bestFit="1" customWidth="1"/>
    <col min="782" max="782" width="9.42578125" customWidth="1"/>
    <col min="783" max="783" width="12" customWidth="1"/>
    <col min="784" max="784" width="13.28515625" customWidth="1"/>
    <col min="787" max="787" width="11.28515625" customWidth="1"/>
    <col min="788" max="788" width="13.140625" customWidth="1"/>
    <col min="1025" max="1025" width="19.140625" customWidth="1"/>
    <col min="1026" max="1026" width="12.42578125" customWidth="1"/>
    <col min="1027" max="1027" width="20.85546875" customWidth="1"/>
    <col min="1028" max="1029" width="10.42578125" customWidth="1"/>
    <col min="1031" max="1031" width="10.85546875" customWidth="1"/>
    <col min="1033" max="1033" width="9.85546875" bestFit="1" customWidth="1"/>
    <col min="1038" max="1038" width="9.42578125" customWidth="1"/>
    <col min="1039" max="1039" width="12" customWidth="1"/>
    <col min="1040" max="1040" width="13.28515625" customWidth="1"/>
    <col min="1043" max="1043" width="11.28515625" customWidth="1"/>
    <col min="1044" max="1044" width="13.140625" customWidth="1"/>
    <col min="1281" max="1281" width="19.140625" customWidth="1"/>
    <col min="1282" max="1282" width="12.42578125" customWidth="1"/>
    <col min="1283" max="1283" width="20.85546875" customWidth="1"/>
    <col min="1284" max="1285" width="10.42578125" customWidth="1"/>
    <col min="1287" max="1287" width="10.85546875" customWidth="1"/>
    <col min="1289" max="1289" width="9.85546875" bestFit="1" customWidth="1"/>
    <col min="1294" max="1294" width="9.42578125" customWidth="1"/>
    <col min="1295" max="1295" width="12" customWidth="1"/>
    <col min="1296" max="1296" width="13.28515625" customWidth="1"/>
    <col min="1299" max="1299" width="11.28515625" customWidth="1"/>
    <col min="1300" max="1300" width="13.140625" customWidth="1"/>
    <col min="1537" max="1537" width="19.140625" customWidth="1"/>
    <col min="1538" max="1538" width="12.42578125" customWidth="1"/>
    <col min="1539" max="1539" width="20.85546875" customWidth="1"/>
    <col min="1540" max="1541" width="10.42578125" customWidth="1"/>
    <col min="1543" max="1543" width="10.85546875" customWidth="1"/>
    <col min="1545" max="1545" width="9.85546875" bestFit="1" customWidth="1"/>
    <col min="1550" max="1550" width="9.42578125" customWidth="1"/>
    <col min="1551" max="1551" width="12" customWidth="1"/>
    <col min="1552" max="1552" width="13.28515625" customWidth="1"/>
    <col min="1555" max="1555" width="11.28515625" customWidth="1"/>
    <col min="1556" max="1556" width="13.140625" customWidth="1"/>
    <col min="1793" max="1793" width="19.140625" customWidth="1"/>
    <col min="1794" max="1794" width="12.42578125" customWidth="1"/>
    <col min="1795" max="1795" width="20.85546875" customWidth="1"/>
    <col min="1796" max="1797" width="10.42578125" customWidth="1"/>
    <col min="1799" max="1799" width="10.85546875" customWidth="1"/>
    <col min="1801" max="1801" width="9.85546875" bestFit="1" customWidth="1"/>
    <col min="1806" max="1806" width="9.42578125" customWidth="1"/>
    <col min="1807" max="1807" width="12" customWidth="1"/>
    <col min="1808" max="1808" width="13.28515625" customWidth="1"/>
    <col min="1811" max="1811" width="11.28515625" customWidth="1"/>
    <col min="1812" max="1812" width="13.140625" customWidth="1"/>
    <col min="2049" max="2049" width="19.140625" customWidth="1"/>
    <col min="2050" max="2050" width="12.42578125" customWidth="1"/>
    <col min="2051" max="2051" width="20.85546875" customWidth="1"/>
    <col min="2052" max="2053" width="10.42578125" customWidth="1"/>
    <col min="2055" max="2055" width="10.85546875" customWidth="1"/>
    <col min="2057" max="2057" width="9.85546875" bestFit="1" customWidth="1"/>
    <col min="2062" max="2062" width="9.42578125" customWidth="1"/>
    <col min="2063" max="2063" width="12" customWidth="1"/>
    <col min="2064" max="2064" width="13.28515625" customWidth="1"/>
    <col min="2067" max="2067" width="11.28515625" customWidth="1"/>
    <col min="2068" max="2068" width="13.140625" customWidth="1"/>
    <col min="2305" max="2305" width="19.140625" customWidth="1"/>
    <col min="2306" max="2306" width="12.42578125" customWidth="1"/>
    <col min="2307" max="2307" width="20.85546875" customWidth="1"/>
    <col min="2308" max="2309" width="10.42578125" customWidth="1"/>
    <col min="2311" max="2311" width="10.85546875" customWidth="1"/>
    <col min="2313" max="2313" width="9.85546875" bestFit="1" customWidth="1"/>
    <col min="2318" max="2318" width="9.42578125" customWidth="1"/>
    <col min="2319" max="2319" width="12" customWidth="1"/>
    <col min="2320" max="2320" width="13.28515625" customWidth="1"/>
    <col min="2323" max="2323" width="11.28515625" customWidth="1"/>
    <col min="2324" max="2324" width="13.140625" customWidth="1"/>
    <col min="2561" max="2561" width="19.140625" customWidth="1"/>
    <col min="2562" max="2562" width="12.42578125" customWidth="1"/>
    <col min="2563" max="2563" width="20.85546875" customWidth="1"/>
    <col min="2564" max="2565" width="10.42578125" customWidth="1"/>
    <col min="2567" max="2567" width="10.85546875" customWidth="1"/>
    <col min="2569" max="2569" width="9.85546875" bestFit="1" customWidth="1"/>
    <col min="2574" max="2574" width="9.42578125" customWidth="1"/>
    <col min="2575" max="2575" width="12" customWidth="1"/>
    <col min="2576" max="2576" width="13.28515625" customWidth="1"/>
    <col min="2579" max="2579" width="11.28515625" customWidth="1"/>
    <col min="2580" max="2580" width="13.140625" customWidth="1"/>
    <col min="2817" max="2817" width="19.140625" customWidth="1"/>
    <col min="2818" max="2818" width="12.42578125" customWidth="1"/>
    <col min="2819" max="2819" width="20.85546875" customWidth="1"/>
    <col min="2820" max="2821" width="10.42578125" customWidth="1"/>
    <col min="2823" max="2823" width="10.85546875" customWidth="1"/>
    <col min="2825" max="2825" width="9.85546875" bestFit="1" customWidth="1"/>
    <col min="2830" max="2830" width="9.42578125" customWidth="1"/>
    <col min="2831" max="2831" width="12" customWidth="1"/>
    <col min="2832" max="2832" width="13.28515625" customWidth="1"/>
    <col min="2835" max="2835" width="11.28515625" customWidth="1"/>
    <col min="2836" max="2836" width="13.140625" customWidth="1"/>
    <col min="3073" max="3073" width="19.140625" customWidth="1"/>
    <col min="3074" max="3074" width="12.42578125" customWidth="1"/>
    <col min="3075" max="3075" width="20.85546875" customWidth="1"/>
    <col min="3076" max="3077" width="10.42578125" customWidth="1"/>
    <col min="3079" max="3079" width="10.85546875" customWidth="1"/>
    <col min="3081" max="3081" width="9.85546875" bestFit="1" customWidth="1"/>
    <col min="3086" max="3086" width="9.42578125" customWidth="1"/>
    <col min="3087" max="3087" width="12" customWidth="1"/>
    <col min="3088" max="3088" width="13.28515625" customWidth="1"/>
    <col min="3091" max="3091" width="11.28515625" customWidth="1"/>
    <col min="3092" max="3092" width="13.140625" customWidth="1"/>
    <col min="3329" max="3329" width="19.140625" customWidth="1"/>
    <col min="3330" max="3330" width="12.42578125" customWidth="1"/>
    <col min="3331" max="3331" width="20.85546875" customWidth="1"/>
    <col min="3332" max="3333" width="10.42578125" customWidth="1"/>
    <col min="3335" max="3335" width="10.85546875" customWidth="1"/>
    <col min="3337" max="3337" width="9.85546875" bestFit="1" customWidth="1"/>
    <col min="3342" max="3342" width="9.42578125" customWidth="1"/>
    <col min="3343" max="3343" width="12" customWidth="1"/>
    <col min="3344" max="3344" width="13.28515625" customWidth="1"/>
    <col min="3347" max="3347" width="11.28515625" customWidth="1"/>
    <col min="3348" max="3348" width="13.140625" customWidth="1"/>
    <col min="3585" max="3585" width="19.140625" customWidth="1"/>
    <col min="3586" max="3586" width="12.42578125" customWidth="1"/>
    <col min="3587" max="3587" width="20.85546875" customWidth="1"/>
    <col min="3588" max="3589" width="10.42578125" customWidth="1"/>
    <col min="3591" max="3591" width="10.85546875" customWidth="1"/>
    <col min="3593" max="3593" width="9.85546875" bestFit="1" customWidth="1"/>
    <col min="3598" max="3598" width="9.42578125" customWidth="1"/>
    <col min="3599" max="3599" width="12" customWidth="1"/>
    <col min="3600" max="3600" width="13.28515625" customWidth="1"/>
    <col min="3603" max="3603" width="11.28515625" customWidth="1"/>
    <col min="3604" max="3604" width="13.140625" customWidth="1"/>
    <col min="3841" max="3841" width="19.140625" customWidth="1"/>
    <col min="3842" max="3842" width="12.42578125" customWidth="1"/>
    <col min="3843" max="3843" width="20.85546875" customWidth="1"/>
    <col min="3844" max="3845" width="10.42578125" customWidth="1"/>
    <col min="3847" max="3847" width="10.85546875" customWidth="1"/>
    <col min="3849" max="3849" width="9.85546875" bestFit="1" customWidth="1"/>
    <col min="3854" max="3854" width="9.42578125" customWidth="1"/>
    <col min="3855" max="3855" width="12" customWidth="1"/>
    <col min="3856" max="3856" width="13.28515625" customWidth="1"/>
    <col min="3859" max="3859" width="11.28515625" customWidth="1"/>
    <col min="3860" max="3860" width="13.140625" customWidth="1"/>
    <col min="4097" max="4097" width="19.140625" customWidth="1"/>
    <col min="4098" max="4098" width="12.42578125" customWidth="1"/>
    <col min="4099" max="4099" width="20.85546875" customWidth="1"/>
    <col min="4100" max="4101" width="10.42578125" customWidth="1"/>
    <col min="4103" max="4103" width="10.85546875" customWidth="1"/>
    <col min="4105" max="4105" width="9.85546875" bestFit="1" customWidth="1"/>
    <col min="4110" max="4110" width="9.42578125" customWidth="1"/>
    <col min="4111" max="4111" width="12" customWidth="1"/>
    <col min="4112" max="4112" width="13.28515625" customWidth="1"/>
    <col min="4115" max="4115" width="11.28515625" customWidth="1"/>
    <col min="4116" max="4116" width="13.140625" customWidth="1"/>
    <col min="4353" max="4353" width="19.140625" customWidth="1"/>
    <col min="4354" max="4354" width="12.42578125" customWidth="1"/>
    <col min="4355" max="4355" width="20.85546875" customWidth="1"/>
    <col min="4356" max="4357" width="10.42578125" customWidth="1"/>
    <col min="4359" max="4359" width="10.85546875" customWidth="1"/>
    <col min="4361" max="4361" width="9.85546875" bestFit="1" customWidth="1"/>
    <col min="4366" max="4366" width="9.42578125" customWidth="1"/>
    <col min="4367" max="4367" width="12" customWidth="1"/>
    <col min="4368" max="4368" width="13.28515625" customWidth="1"/>
    <col min="4371" max="4371" width="11.28515625" customWidth="1"/>
    <col min="4372" max="4372" width="13.140625" customWidth="1"/>
    <col min="4609" max="4609" width="19.140625" customWidth="1"/>
    <col min="4610" max="4610" width="12.42578125" customWidth="1"/>
    <col min="4611" max="4611" width="20.85546875" customWidth="1"/>
    <col min="4612" max="4613" width="10.42578125" customWidth="1"/>
    <col min="4615" max="4615" width="10.85546875" customWidth="1"/>
    <col min="4617" max="4617" width="9.85546875" bestFit="1" customWidth="1"/>
    <col min="4622" max="4622" width="9.42578125" customWidth="1"/>
    <col min="4623" max="4623" width="12" customWidth="1"/>
    <col min="4624" max="4624" width="13.28515625" customWidth="1"/>
    <col min="4627" max="4627" width="11.28515625" customWidth="1"/>
    <col min="4628" max="4628" width="13.140625" customWidth="1"/>
    <col min="4865" max="4865" width="19.140625" customWidth="1"/>
    <col min="4866" max="4866" width="12.42578125" customWidth="1"/>
    <col min="4867" max="4867" width="20.85546875" customWidth="1"/>
    <col min="4868" max="4869" width="10.42578125" customWidth="1"/>
    <col min="4871" max="4871" width="10.85546875" customWidth="1"/>
    <col min="4873" max="4873" width="9.85546875" bestFit="1" customWidth="1"/>
    <col min="4878" max="4878" width="9.42578125" customWidth="1"/>
    <col min="4879" max="4879" width="12" customWidth="1"/>
    <col min="4880" max="4880" width="13.28515625" customWidth="1"/>
    <col min="4883" max="4883" width="11.28515625" customWidth="1"/>
    <col min="4884" max="4884" width="13.140625" customWidth="1"/>
    <col min="5121" max="5121" width="19.140625" customWidth="1"/>
    <col min="5122" max="5122" width="12.42578125" customWidth="1"/>
    <col min="5123" max="5123" width="20.85546875" customWidth="1"/>
    <col min="5124" max="5125" width="10.42578125" customWidth="1"/>
    <col min="5127" max="5127" width="10.85546875" customWidth="1"/>
    <col min="5129" max="5129" width="9.85546875" bestFit="1" customWidth="1"/>
    <col min="5134" max="5134" width="9.42578125" customWidth="1"/>
    <col min="5135" max="5135" width="12" customWidth="1"/>
    <col min="5136" max="5136" width="13.28515625" customWidth="1"/>
    <col min="5139" max="5139" width="11.28515625" customWidth="1"/>
    <col min="5140" max="5140" width="13.140625" customWidth="1"/>
    <col min="5377" max="5377" width="19.140625" customWidth="1"/>
    <col min="5378" max="5378" width="12.42578125" customWidth="1"/>
    <col min="5379" max="5379" width="20.85546875" customWidth="1"/>
    <col min="5380" max="5381" width="10.42578125" customWidth="1"/>
    <col min="5383" max="5383" width="10.85546875" customWidth="1"/>
    <col min="5385" max="5385" width="9.85546875" bestFit="1" customWidth="1"/>
    <col min="5390" max="5390" width="9.42578125" customWidth="1"/>
    <col min="5391" max="5391" width="12" customWidth="1"/>
    <col min="5392" max="5392" width="13.28515625" customWidth="1"/>
    <col min="5395" max="5395" width="11.28515625" customWidth="1"/>
    <col min="5396" max="5396" width="13.140625" customWidth="1"/>
    <col min="5633" max="5633" width="19.140625" customWidth="1"/>
    <col min="5634" max="5634" width="12.42578125" customWidth="1"/>
    <col min="5635" max="5635" width="20.85546875" customWidth="1"/>
    <col min="5636" max="5637" width="10.42578125" customWidth="1"/>
    <col min="5639" max="5639" width="10.85546875" customWidth="1"/>
    <col min="5641" max="5641" width="9.85546875" bestFit="1" customWidth="1"/>
    <col min="5646" max="5646" width="9.42578125" customWidth="1"/>
    <col min="5647" max="5647" width="12" customWidth="1"/>
    <col min="5648" max="5648" width="13.28515625" customWidth="1"/>
    <col min="5651" max="5651" width="11.28515625" customWidth="1"/>
    <col min="5652" max="5652" width="13.140625" customWidth="1"/>
    <col min="5889" max="5889" width="19.140625" customWidth="1"/>
    <col min="5890" max="5890" width="12.42578125" customWidth="1"/>
    <col min="5891" max="5891" width="20.85546875" customWidth="1"/>
    <col min="5892" max="5893" width="10.42578125" customWidth="1"/>
    <col min="5895" max="5895" width="10.85546875" customWidth="1"/>
    <col min="5897" max="5897" width="9.85546875" bestFit="1" customWidth="1"/>
    <col min="5902" max="5902" width="9.42578125" customWidth="1"/>
    <col min="5903" max="5903" width="12" customWidth="1"/>
    <col min="5904" max="5904" width="13.28515625" customWidth="1"/>
    <col min="5907" max="5907" width="11.28515625" customWidth="1"/>
    <col min="5908" max="5908" width="13.140625" customWidth="1"/>
    <col min="6145" max="6145" width="19.140625" customWidth="1"/>
    <col min="6146" max="6146" width="12.42578125" customWidth="1"/>
    <col min="6147" max="6147" width="20.85546875" customWidth="1"/>
    <col min="6148" max="6149" width="10.42578125" customWidth="1"/>
    <col min="6151" max="6151" width="10.85546875" customWidth="1"/>
    <col min="6153" max="6153" width="9.85546875" bestFit="1" customWidth="1"/>
    <col min="6158" max="6158" width="9.42578125" customWidth="1"/>
    <col min="6159" max="6159" width="12" customWidth="1"/>
    <col min="6160" max="6160" width="13.28515625" customWidth="1"/>
    <col min="6163" max="6163" width="11.28515625" customWidth="1"/>
    <col min="6164" max="6164" width="13.140625" customWidth="1"/>
    <col min="6401" max="6401" width="19.140625" customWidth="1"/>
    <col min="6402" max="6402" width="12.42578125" customWidth="1"/>
    <col min="6403" max="6403" width="20.85546875" customWidth="1"/>
    <col min="6404" max="6405" width="10.42578125" customWidth="1"/>
    <col min="6407" max="6407" width="10.85546875" customWidth="1"/>
    <col min="6409" max="6409" width="9.85546875" bestFit="1" customWidth="1"/>
    <col min="6414" max="6414" width="9.42578125" customWidth="1"/>
    <col min="6415" max="6415" width="12" customWidth="1"/>
    <col min="6416" max="6416" width="13.28515625" customWidth="1"/>
    <col min="6419" max="6419" width="11.28515625" customWidth="1"/>
    <col min="6420" max="6420" width="13.140625" customWidth="1"/>
    <col min="6657" max="6657" width="19.140625" customWidth="1"/>
    <col min="6658" max="6658" width="12.42578125" customWidth="1"/>
    <col min="6659" max="6659" width="20.85546875" customWidth="1"/>
    <col min="6660" max="6661" width="10.42578125" customWidth="1"/>
    <col min="6663" max="6663" width="10.85546875" customWidth="1"/>
    <col min="6665" max="6665" width="9.85546875" bestFit="1" customWidth="1"/>
    <col min="6670" max="6670" width="9.42578125" customWidth="1"/>
    <col min="6671" max="6671" width="12" customWidth="1"/>
    <col min="6672" max="6672" width="13.28515625" customWidth="1"/>
    <col min="6675" max="6675" width="11.28515625" customWidth="1"/>
    <col min="6676" max="6676" width="13.140625" customWidth="1"/>
    <col min="6913" max="6913" width="19.140625" customWidth="1"/>
    <col min="6914" max="6914" width="12.42578125" customWidth="1"/>
    <col min="6915" max="6915" width="20.85546875" customWidth="1"/>
    <col min="6916" max="6917" width="10.42578125" customWidth="1"/>
    <col min="6919" max="6919" width="10.85546875" customWidth="1"/>
    <col min="6921" max="6921" width="9.85546875" bestFit="1" customWidth="1"/>
    <col min="6926" max="6926" width="9.42578125" customWidth="1"/>
    <col min="6927" max="6927" width="12" customWidth="1"/>
    <col min="6928" max="6928" width="13.28515625" customWidth="1"/>
    <col min="6931" max="6931" width="11.28515625" customWidth="1"/>
    <col min="6932" max="6932" width="13.140625" customWidth="1"/>
    <col min="7169" max="7169" width="19.140625" customWidth="1"/>
    <col min="7170" max="7170" width="12.42578125" customWidth="1"/>
    <col min="7171" max="7171" width="20.85546875" customWidth="1"/>
    <col min="7172" max="7173" width="10.42578125" customWidth="1"/>
    <col min="7175" max="7175" width="10.85546875" customWidth="1"/>
    <col min="7177" max="7177" width="9.85546875" bestFit="1" customWidth="1"/>
    <col min="7182" max="7182" width="9.42578125" customWidth="1"/>
    <col min="7183" max="7183" width="12" customWidth="1"/>
    <col min="7184" max="7184" width="13.28515625" customWidth="1"/>
    <col min="7187" max="7187" width="11.28515625" customWidth="1"/>
    <col min="7188" max="7188" width="13.140625" customWidth="1"/>
    <col min="7425" max="7425" width="19.140625" customWidth="1"/>
    <col min="7426" max="7426" width="12.42578125" customWidth="1"/>
    <col min="7427" max="7427" width="20.85546875" customWidth="1"/>
    <col min="7428" max="7429" width="10.42578125" customWidth="1"/>
    <col min="7431" max="7431" width="10.85546875" customWidth="1"/>
    <col min="7433" max="7433" width="9.85546875" bestFit="1" customWidth="1"/>
    <col min="7438" max="7438" width="9.42578125" customWidth="1"/>
    <col min="7439" max="7439" width="12" customWidth="1"/>
    <col min="7440" max="7440" width="13.28515625" customWidth="1"/>
    <col min="7443" max="7443" width="11.28515625" customWidth="1"/>
    <col min="7444" max="7444" width="13.140625" customWidth="1"/>
    <col min="7681" max="7681" width="19.140625" customWidth="1"/>
    <col min="7682" max="7682" width="12.42578125" customWidth="1"/>
    <col min="7683" max="7683" width="20.85546875" customWidth="1"/>
    <col min="7684" max="7685" width="10.42578125" customWidth="1"/>
    <col min="7687" max="7687" width="10.85546875" customWidth="1"/>
    <col min="7689" max="7689" width="9.85546875" bestFit="1" customWidth="1"/>
    <col min="7694" max="7694" width="9.42578125" customWidth="1"/>
    <col min="7695" max="7695" width="12" customWidth="1"/>
    <col min="7696" max="7696" width="13.28515625" customWidth="1"/>
    <col min="7699" max="7699" width="11.28515625" customWidth="1"/>
    <col min="7700" max="7700" width="13.140625" customWidth="1"/>
    <col min="7937" max="7937" width="19.140625" customWidth="1"/>
    <col min="7938" max="7938" width="12.42578125" customWidth="1"/>
    <col min="7939" max="7939" width="20.85546875" customWidth="1"/>
    <col min="7940" max="7941" width="10.42578125" customWidth="1"/>
    <col min="7943" max="7943" width="10.85546875" customWidth="1"/>
    <col min="7945" max="7945" width="9.85546875" bestFit="1" customWidth="1"/>
    <col min="7950" max="7950" width="9.42578125" customWidth="1"/>
    <col min="7951" max="7951" width="12" customWidth="1"/>
    <col min="7952" max="7952" width="13.28515625" customWidth="1"/>
    <col min="7955" max="7955" width="11.28515625" customWidth="1"/>
    <col min="7956" max="7956" width="13.140625" customWidth="1"/>
    <col min="8193" max="8193" width="19.140625" customWidth="1"/>
    <col min="8194" max="8194" width="12.42578125" customWidth="1"/>
    <col min="8195" max="8195" width="20.85546875" customWidth="1"/>
    <col min="8196" max="8197" width="10.42578125" customWidth="1"/>
    <col min="8199" max="8199" width="10.85546875" customWidth="1"/>
    <col min="8201" max="8201" width="9.85546875" bestFit="1" customWidth="1"/>
    <col min="8206" max="8206" width="9.42578125" customWidth="1"/>
    <col min="8207" max="8207" width="12" customWidth="1"/>
    <col min="8208" max="8208" width="13.28515625" customWidth="1"/>
    <col min="8211" max="8211" width="11.28515625" customWidth="1"/>
    <col min="8212" max="8212" width="13.140625" customWidth="1"/>
    <col min="8449" max="8449" width="19.140625" customWidth="1"/>
    <col min="8450" max="8450" width="12.42578125" customWidth="1"/>
    <col min="8451" max="8451" width="20.85546875" customWidth="1"/>
    <col min="8452" max="8453" width="10.42578125" customWidth="1"/>
    <col min="8455" max="8455" width="10.85546875" customWidth="1"/>
    <col min="8457" max="8457" width="9.85546875" bestFit="1" customWidth="1"/>
    <col min="8462" max="8462" width="9.42578125" customWidth="1"/>
    <col min="8463" max="8463" width="12" customWidth="1"/>
    <col min="8464" max="8464" width="13.28515625" customWidth="1"/>
    <col min="8467" max="8467" width="11.28515625" customWidth="1"/>
    <col min="8468" max="8468" width="13.140625" customWidth="1"/>
    <col min="8705" max="8705" width="19.140625" customWidth="1"/>
    <col min="8706" max="8706" width="12.42578125" customWidth="1"/>
    <col min="8707" max="8707" width="20.85546875" customWidth="1"/>
    <col min="8708" max="8709" width="10.42578125" customWidth="1"/>
    <col min="8711" max="8711" width="10.85546875" customWidth="1"/>
    <col min="8713" max="8713" width="9.85546875" bestFit="1" customWidth="1"/>
    <col min="8718" max="8718" width="9.42578125" customWidth="1"/>
    <col min="8719" max="8719" width="12" customWidth="1"/>
    <col min="8720" max="8720" width="13.28515625" customWidth="1"/>
    <col min="8723" max="8723" width="11.28515625" customWidth="1"/>
    <col min="8724" max="8724" width="13.140625" customWidth="1"/>
    <col min="8961" max="8961" width="19.140625" customWidth="1"/>
    <col min="8962" max="8962" width="12.42578125" customWidth="1"/>
    <col min="8963" max="8963" width="20.85546875" customWidth="1"/>
    <col min="8964" max="8965" width="10.42578125" customWidth="1"/>
    <col min="8967" max="8967" width="10.85546875" customWidth="1"/>
    <col min="8969" max="8969" width="9.85546875" bestFit="1" customWidth="1"/>
    <col min="8974" max="8974" width="9.42578125" customWidth="1"/>
    <col min="8975" max="8975" width="12" customWidth="1"/>
    <col min="8976" max="8976" width="13.28515625" customWidth="1"/>
    <col min="8979" max="8979" width="11.28515625" customWidth="1"/>
    <col min="8980" max="8980" width="13.140625" customWidth="1"/>
    <col min="9217" max="9217" width="19.140625" customWidth="1"/>
    <col min="9218" max="9218" width="12.42578125" customWidth="1"/>
    <col min="9219" max="9219" width="20.85546875" customWidth="1"/>
    <col min="9220" max="9221" width="10.42578125" customWidth="1"/>
    <col min="9223" max="9223" width="10.85546875" customWidth="1"/>
    <col min="9225" max="9225" width="9.85546875" bestFit="1" customWidth="1"/>
    <col min="9230" max="9230" width="9.42578125" customWidth="1"/>
    <col min="9231" max="9231" width="12" customWidth="1"/>
    <col min="9232" max="9232" width="13.28515625" customWidth="1"/>
    <col min="9235" max="9235" width="11.28515625" customWidth="1"/>
    <col min="9236" max="9236" width="13.140625" customWidth="1"/>
    <col min="9473" max="9473" width="19.140625" customWidth="1"/>
    <col min="9474" max="9474" width="12.42578125" customWidth="1"/>
    <col min="9475" max="9475" width="20.85546875" customWidth="1"/>
    <col min="9476" max="9477" width="10.42578125" customWidth="1"/>
    <col min="9479" max="9479" width="10.85546875" customWidth="1"/>
    <col min="9481" max="9481" width="9.85546875" bestFit="1" customWidth="1"/>
    <col min="9486" max="9486" width="9.42578125" customWidth="1"/>
    <col min="9487" max="9487" width="12" customWidth="1"/>
    <col min="9488" max="9488" width="13.28515625" customWidth="1"/>
    <col min="9491" max="9491" width="11.28515625" customWidth="1"/>
    <col min="9492" max="9492" width="13.140625" customWidth="1"/>
    <col min="9729" max="9729" width="19.140625" customWidth="1"/>
    <col min="9730" max="9730" width="12.42578125" customWidth="1"/>
    <col min="9731" max="9731" width="20.85546875" customWidth="1"/>
    <col min="9732" max="9733" width="10.42578125" customWidth="1"/>
    <col min="9735" max="9735" width="10.85546875" customWidth="1"/>
    <col min="9737" max="9737" width="9.85546875" bestFit="1" customWidth="1"/>
    <col min="9742" max="9742" width="9.42578125" customWidth="1"/>
    <col min="9743" max="9743" width="12" customWidth="1"/>
    <col min="9744" max="9744" width="13.28515625" customWidth="1"/>
    <col min="9747" max="9747" width="11.28515625" customWidth="1"/>
    <col min="9748" max="9748" width="13.140625" customWidth="1"/>
    <col min="9985" max="9985" width="19.140625" customWidth="1"/>
    <col min="9986" max="9986" width="12.42578125" customWidth="1"/>
    <col min="9987" max="9987" width="20.85546875" customWidth="1"/>
    <col min="9988" max="9989" width="10.42578125" customWidth="1"/>
    <col min="9991" max="9991" width="10.85546875" customWidth="1"/>
    <col min="9993" max="9993" width="9.85546875" bestFit="1" customWidth="1"/>
    <col min="9998" max="9998" width="9.42578125" customWidth="1"/>
    <col min="9999" max="9999" width="12" customWidth="1"/>
    <col min="10000" max="10000" width="13.28515625" customWidth="1"/>
    <col min="10003" max="10003" width="11.28515625" customWidth="1"/>
    <col min="10004" max="10004" width="13.140625" customWidth="1"/>
    <col min="10241" max="10241" width="19.140625" customWidth="1"/>
    <col min="10242" max="10242" width="12.42578125" customWidth="1"/>
    <col min="10243" max="10243" width="20.85546875" customWidth="1"/>
    <col min="10244" max="10245" width="10.42578125" customWidth="1"/>
    <col min="10247" max="10247" width="10.85546875" customWidth="1"/>
    <col min="10249" max="10249" width="9.85546875" bestFit="1" customWidth="1"/>
    <col min="10254" max="10254" width="9.42578125" customWidth="1"/>
    <col min="10255" max="10255" width="12" customWidth="1"/>
    <col min="10256" max="10256" width="13.28515625" customWidth="1"/>
    <col min="10259" max="10259" width="11.28515625" customWidth="1"/>
    <col min="10260" max="10260" width="13.140625" customWidth="1"/>
    <col min="10497" max="10497" width="19.140625" customWidth="1"/>
    <col min="10498" max="10498" width="12.42578125" customWidth="1"/>
    <col min="10499" max="10499" width="20.85546875" customWidth="1"/>
    <col min="10500" max="10501" width="10.42578125" customWidth="1"/>
    <col min="10503" max="10503" width="10.85546875" customWidth="1"/>
    <col min="10505" max="10505" width="9.85546875" bestFit="1" customWidth="1"/>
    <col min="10510" max="10510" width="9.42578125" customWidth="1"/>
    <col min="10511" max="10511" width="12" customWidth="1"/>
    <col min="10512" max="10512" width="13.28515625" customWidth="1"/>
    <col min="10515" max="10515" width="11.28515625" customWidth="1"/>
    <col min="10516" max="10516" width="13.140625" customWidth="1"/>
    <col min="10753" max="10753" width="19.140625" customWidth="1"/>
    <col min="10754" max="10754" width="12.42578125" customWidth="1"/>
    <col min="10755" max="10755" width="20.85546875" customWidth="1"/>
    <col min="10756" max="10757" width="10.42578125" customWidth="1"/>
    <col min="10759" max="10759" width="10.85546875" customWidth="1"/>
    <col min="10761" max="10761" width="9.85546875" bestFit="1" customWidth="1"/>
    <col min="10766" max="10766" width="9.42578125" customWidth="1"/>
    <col min="10767" max="10767" width="12" customWidth="1"/>
    <col min="10768" max="10768" width="13.28515625" customWidth="1"/>
    <col min="10771" max="10771" width="11.28515625" customWidth="1"/>
    <col min="10772" max="10772" width="13.140625" customWidth="1"/>
    <col min="11009" max="11009" width="19.140625" customWidth="1"/>
    <col min="11010" max="11010" width="12.42578125" customWidth="1"/>
    <col min="11011" max="11011" width="20.85546875" customWidth="1"/>
    <col min="11012" max="11013" width="10.42578125" customWidth="1"/>
    <col min="11015" max="11015" width="10.85546875" customWidth="1"/>
    <col min="11017" max="11017" width="9.85546875" bestFit="1" customWidth="1"/>
    <col min="11022" max="11022" width="9.42578125" customWidth="1"/>
    <col min="11023" max="11023" width="12" customWidth="1"/>
    <col min="11024" max="11024" width="13.28515625" customWidth="1"/>
    <col min="11027" max="11027" width="11.28515625" customWidth="1"/>
    <col min="11028" max="11028" width="13.140625" customWidth="1"/>
    <col min="11265" max="11265" width="19.140625" customWidth="1"/>
    <col min="11266" max="11266" width="12.42578125" customWidth="1"/>
    <col min="11267" max="11267" width="20.85546875" customWidth="1"/>
    <col min="11268" max="11269" width="10.42578125" customWidth="1"/>
    <col min="11271" max="11271" width="10.85546875" customWidth="1"/>
    <col min="11273" max="11273" width="9.85546875" bestFit="1" customWidth="1"/>
    <col min="11278" max="11278" width="9.42578125" customWidth="1"/>
    <col min="11279" max="11279" width="12" customWidth="1"/>
    <col min="11280" max="11280" width="13.28515625" customWidth="1"/>
    <col min="11283" max="11283" width="11.28515625" customWidth="1"/>
    <col min="11284" max="11284" width="13.140625" customWidth="1"/>
    <col min="11521" max="11521" width="19.140625" customWidth="1"/>
    <col min="11522" max="11522" width="12.42578125" customWidth="1"/>
    <col min="11523" max="11523" width="20.85546875" customWidth="1"/>
    <col min="11524" max="11525" width="10.42578125" customWidth="1"/>
    <col min="11527" max="11527" width="10.85546875" customWidth="1"/>
    <col min="11529" max="11529" width="9.85546875" bestFit="1" customWidth="1"/>
    <col min="11534" max="11534" width="9.42578125" customWidth="1"/>
    <col min="11535" max="11535" width="12" customWidth="1"/>
    <col min="11536" max="11536" width="13.28515625" customWidth="1"/>
    <col min="11539" max="11539" width="11.28515625" customWidth="1"/>
    <col min="11540" max="11540" width="13.140625" customWidth="1"/>
    <col min="11777" max="11777" width="19.140625" customWidth="1"/>
    <col min="11778" max="11778" width="12.42578125" customWidth="1"/>
    <col min="11779" max="11779" width="20.85546875" customWidth="1"/>
    <col min="11780" max="11781" width="10.42578125" customWidth="1"/>
    <col min="11783" max="11783" width="10.85546875" customWidth="1"/>
    <col min="11785" max="11785" width="9.85546875" bestFit="1" customWidth="1"/>
    <col min="11790" max="11790" width="9.42578125" customWidth="1"/>
    <col min="11791" max="11791" width="12" customWidth="1"/>
    <col min="11792" max="11792" width="13.28515625" customWidth="1"/>
    <col min="11795" max="11795" width="11.28515625" customWidth="1"/>
    <col min="11796" max="11796" width="13.140625" customWidth="1"/>
    <col min="12033" max="12033" width="19.140625" customWidth="1"/>
    <col min="12034" max="12034" width="12.42578125" customWidth="1"/>
    <col min="12035" max="12035" width="20.85546875" customWidth="1"/>
    <col min="12036" max="12037" width="10.42578125" customWidth="1"/>
    <col min="12039" max="12039" width="10.85546875" customWidth="1"/>
    <col min="12041" max="12041" width="9.85546875" bestFit="1" customWidth="1"/>
    <col min="12046" max="12046" width="9.42578125" customWidth="1"/>
    <col min="12047" max="12047" width="12" customWidth="1"/>
    <col min="12048" max="12048" width="13.28515625" customWidth="1"/>
    <col min="12051" max="12051" width="11.28515625" customWidth="1"/>
    <col min="12052" max="12052" width="13.140625" customWidth="1"/>
    <col min="12289" max="12289" width="19.140625" customWidth="1"/>
    <col min="12290" max="12290" width="12.42578125" customWidth="1"/>
    <col min="12291" max="12291" width="20.85546875" customWidth="1"/>
    <col min="12292" max="12293" width="10.42578125" customWidth="1"/>
    <col min="12295" max="12295" width="10.85546875" customWidth="1"/>
    <col min="12297" max="12297" width="9.85546875" bestFit="1" customWidth="1"/>
    <col min="12302" max="12302" width="9.42578125" customWidth="1"/>
    <col min="12303" max="12303" width="12" customWidth="1"/>
    <col min="12304" max="12304" width="13.28515625" customWidth="1"/>
    <col min="12307" max="12307" width="11.28515625" customWidth="1"/>
    <col min="12308" max="12308" width="13.140625" customWidth="1"/>
    <col min="12545" max="12545" width="19.140625" customWidth="1"/>
    <col min="12546" max="12546" width="12.42578125" customWidth="1"/>
    <col min="12547" max="12547" width="20.85546875" customWidth="1"/>
    <col min="12548" max="12549" width="10.42578125" customWidth="1"/>
    <col min="12551" max="12551" width="10.85546875" customWidth="1"/>
    <col min="12553" max="12553" width="9.85546875" bestFit="1" customWidth="1"/>
    <col min="12558" max="12558" width="9.42578125" customWidth="1"/>
    <col min="12559" max="12559" width="12" customWidth="1"/>
    <col min="12560" max="12560" width="13.28515625" customWidth="1"/>
    <col min="12563" max="12563" width="11.28515625" customWidth="1"/>
    <col min="12564" max="12564" width="13.140625" customWidth="1"/>
    <col min="12801" max="12801" width="19.140625" customWidth="1"/>
    <col min="12802" max="12802" width="12.42578125" customWidth="1"/>
    <col min="12803" max="12803" width="20.85546875" customWidth="1"/>
    <col min="12804" max="12805" width="10.42578125" customWidth="1"/>
    <col min="12807" max="12807" width="10.85546875" customWidth="1"/>
    <col min="12809" max="12809" width="9.85546875" bestFit="1" customWidth="1"/>
    <col min="12814" max="12814" width="9.42578125" customWidth="1"/>
    <col min="12815" max="12815" width="12" customWidth="1"/>
    <col min="12816" max="12816" width="13.28515625" customWidth="1"/>
    <col min="12819" max="12819" width="11.28515625" customWidth="1"/>
    <col min="12820" max="12820" width="13.140625" customWidth="1"/>
    <col min="13057" max="13057" width="19.140625" customWidth="1"/>
    <col min="13058" max="13058" width="12.42578125" customWidth="1"/>
    <col min="13059" max="13059" width="20.85546875" customWidth="1"/>
    <col min="13060" max="13061" width="10.42578125" customWidth="1"/>
    <col min="13063" max="13063" width="10.85546875" customWidth="1"/>
    <col min="13065" max="13065" width="9.85546875" bestFit="1" customWidth="1"/>
    <col min="13070" max="13070" width="9.42578125" customWidth="1"/>
    <col min="13071" max="13071" width="12" customWidth="1"/>
    <col min="13072" max="13072" width="13.28515625" customWidth="1"/>
    <col min="13075" max="13075" width="11.28515625" customWidth="1"/>
    <col min="13076" max="13076" width="13.140625" customWidth="1"/>
    <col min="13313" max="13313" width="19.140625" customWidth="1"/>
    <col min="13314" max="13314" width="12.42578125" customWidth="1"/>
    <col min="13315" max="13315" width="20.85546875" customWidth="1"/>
    <col min="13316" max="13317" width="10.42578125" customWidth="1"/>
    <col min="13319" max="13319" width="10.85546875" customWidth="1"/>
    <col min="13321" max="13321" width="9.85546875" bestFit="1" customWidth="1"/>
    <col min="13326" max="13326" width="9.42578125" customWidth="1"/>
    <col min="13327" max="13327" width="12" customWidth="1"/>
    <col min="13328" max="13328" width="13.28515625" customWidth="1"/>
    <col min="13331" max="13331" width="11.28515625" customWidth="1"/>
    <col min="13332" max="13332" width="13.140625" customWidth="1"/>
    <col min="13569" max="13569" width="19.140625" customWidth="1"/>
    <col min="13570" max="13570" width="12.42578125" customWidth="1"/>
    <col min="13571" max="13571" width="20.85546875" customWidth="1"/>
    <col min="13572" max="13573" width="10.42578125" customWidth="1"/>
    <col min="13575" max="13575" width="10.85546875" customWidth="1"/>
    <col min="13577" max="13577" width="9.85546875" bestFit="1" customWidth="1"/>
    <col min="13582" max="13582" width="9.42578125" customWidth="1"/>
    <col min="13583" max="13583" width="12" customWidth="1"/>
    <col min="13584" max="13584" width="13.28515625" customWidth="1"/>
    <col min="13587" max="13587" width="11.28515625" customWidth="1"/>
    <col min="13588" max="13588" width="13.140625" customWidth="1"/>
    <col min="13825" max="13825" width="19.140625" customWidth="1"/>
    <col min="13826" max="13826" width="12.42578125" customWidth="1"/>
    <col min="13827" max="13827" width="20.85546875" customWidth="1"/>
    <col min="13828" max="13829" width="10.42578125" customWidth="1"/>
    <col min="13831" max="13831" width="10.85546875" customWidth="1"/>
    <col min="13833" max="13833" width="9.85546875" bestFit="1" customWidth="1"/>
    <col min="13838" max="13838" width="9.42578125" customWidth="1"/>
    <col min="13839" max="13839" width="12" customWidth="1"/>
    <col min="13840" max="13840" width="13.28515625" customWidth="1"/>
    <col min="13843" max="13843" width="11.28515625" customWidth="1"/>
    <col min="13844" max="13844" width="13.140625" customWidth="1"/>
    <col min="14081" max="14081" width="19.140625" customWidth="1"/>
    <col min="14082" max="14082" width="12.42578125" customWidth="1"/>
    <col min="14083" max="14083" width="20.85546875" customWidth="1"/>
    <col min="14084" max="14085" width="10.42578125" customWidth="1"/>
    <col min="14087" max="14087" width="10.85546875" customWidth="1"/>
    <col min="14089" max="14089" width="9.85546875" bestFit="1" customWidth="1"/>
    <col min="14094" max="14094" width="9.42578125" customWidth="1"/>
    <col min="14095" max="14095" width="12" customWidth="1"/>
    <col min="14096" max="14096" width="13.28515625" customWidth="1"/>
    <col min="14099" max="14099" width="11.28515625" customWidth="1"/>
    <col min="14100" max="14100" width="13.140625" customWidth="1"/>
    <col min="14337" max="14337" width="19.140625" customWidth="1"/>
    <col min="14338" max="14338" width="12.42578125" customWidth="1"/>
    <col min="14339" max="14339" width="20.85546875" customWidth="1"/>
    <col min="14340" max="14341" width="10.42578125" customWidth="1"/>
    <col min="14343" max="14343" width="10.85546875" customWidth="1"/>
    <col min="14345" max="14345" width="9.85546875" bestFit="1" customWidth="1"/>
    <col min="14350" max="14350" width="9.42578125" customWidth="1"/>
    <col min="14351" max="14351" width="12" customWidth="1"/>
    <col min="14352" max="14352" width="13.28515625" customWidth="1"/>
    <col min="14355" max="14355" width="11.28515625" customWidth="1"/>
    <col min="14356" max="14356" width="13.140625" customWidth="1"/>
    <col min="14593" max="14593" width="19.140625" customWidth="1"/>
    <col min="14594" max="14594" width="12.42578125" customWidth="1"/>
    <col min="14595" max="14595" width="20.85546875" customWidth="1"/>
    <col min="14596" max="14597" width="10.42578125" customWidth="1"/>
    <col min="14599" max="14599" width="10.85546875" customWidth="1"/>
    <col min="14601" max="14601" width="9.85546875" bestFit="1" customWidth="1"/>
    <col min="14606" max="14606" width="9.42578125" customWidth="1"/>
    <col min="14607" max="14607" width="12" customWidth="1"/>
    <col min="14608" max="14608" width="13.28515625" customWidth="1"/>
    <col min="14611" max="14611" width="11.28515625" customWidth="1"/>
    <col min="14612" max="14612" width="13.140625" customWidth="1"/>
    <col min="14849" max="14849" width="19.140625" customWidth="1"/>
    <col min="14850" max="14850" width="12.42578125" customWidth="1"/>
    <col min="14851" max="14851" width="20.85546875" customWidth="1"/>
    <col min="14852" max="14853" width="10.42578125" customWidth="1"/>
    <col min="14855" max="14855" width="10.85546875" customWidth="1"/>
    <col min="14857" max="14857" width="9.85546875" bestFit="1" customWidth="1"/>
    <col min="14862" max="14862" width="9.42578125" customWidth="1"/>
    <col min="14863" max="14863" width="12" customWidth="1"/>
    <col min="14864" max="14864" width="13.28515625" customWidth="1"/>
    <col min="14867" max="14867" width="11.28515625" customWidth="1"/>
    <col min="14868" max="14868" width="13.140625" customWidth="1"/>
    <col min="15105" max="15105" width="19.140625" customWidth="1"/>
    <col min="15106" max="15106" width="12.42578125" customWidth="1"/>
    <col min="15107" max="15107" width="20.85546875" customWidth="1"/>
    <col min="15108" max="15109" width="10.42578125" customWidth="1"/>
    <col min="15111" max="15111" width="10.85546875" customWidth="1"/>
    <col min="15113" max="15113" width="9.85546875" bestFit="1" customWidth="1"/>
    <col min="15118" max="15118" width="9.42578125" customWidth="1"/>
    <col min="15119" max="15119" width="12" customWidth="1"/>
    <col min="15120" max="15120" width="13.28515625" customWidth="1"/>
    <col min="15123" max="15123" width="11.28515625" customWidth="1"/>
    <col min="15124" max="15124" width="13.140625" customWidth="1"/>
    <col min="15361" max="15361" width="19.140625" customWidth="1"/>
    <col min="15362" max="15362" width="12.42578125" customWidth="1"/>
    <col min="15363" max="15363" width="20.85546875" customWidth="1"/>
    <col min="15364" max="15365" width="10.42578125" customWidth="1"/>
    <col min="15367" max="15367" width="10.85546875" customWidth="1"/>
    <col min="15369" max="15369" width="9.85546875" bestFit="1" customWidth="1"/>
    <col min="15374" max="15374" width="9.42578125" customWidth="1"/>
    <col min="15375" max="15375" width="12" customWidth="1"/>
    <col min="15376" max="15376" width="13.28515625" customWidth="1"/>
    <col min="15379" max="15379" width="11.28515625" customWidth="1"/>
    <col min="15380" max="15380" width="13.140625" customWidth="1"/>
    <col min="15617" max="15617" width="19.140625" customWidth="1"/>
    <col min="15618" max="15618" width="12.42578125" customWidth="1"/>
    <col min="15619" max="15619" width="20.85546875" customWidth="1"/>
    <col min="15620" max="15621" width="10.42578125" customWidth="1"/>
    <col min="15623" max="15623" width="10.85546875" customWidth="1"/>
    <col min="15625" max="15625" width="9.85546875" bestFit="1" customWidth="1"/>
    <col min="15630" max="15630" width="9.42578125" customWidth="1"/>
    <col min="15631" max="15631" width="12" customWidth="1"/>
    <col min="15632" max="15632" width="13.28515625" customWidth="1"/>
    <col min="15635" max="15635" width="11.28515625" customWidth="1"/>
    <col min="15636" max="15636" width="13.140625" customWidth="1"/>
    <col min="15873" max="15873" width="19.140625" customWidth="1"/>
    <col min="15874" max="15874" width="12.42578125" customWidth="1"/>
    <col min="15875" max="15875" width="20.85546875" customWidth="1"/>
    <col min="15876" max="15877" width="10.42578125" customWidth="1"/>
    <col min="15879" max="15879" width="10.85546875" customWidth="1"/>
    <col min="15881" max="15881" width="9.85546875" bestFit="1" customWidth="1"/>
    <col min="15886" max="15886" width="9.42578125" customWidth="1"/>
    <col min="15887" max="15887" width="12" customWidth="1"/>
    <col min="15888" max="15888" width="13.28515625" customWidth="1"/>
    <col min="15891" max="15891" width="11.28515625" customWidth="1"/>
    <col min="15892" max="15892" width="13.140625" customWidth="1"/>
    <col min="16129" max="16129" width="19.140625" customWidth="1"/>
    <col min="16130" max="16130" width="12.42578125" customWidth="1"/>
    <col min="16131" max="16131" width="20.85546875" customWidth="1"/>
    <col min="16132" max="16133" width="10.42578125" customWidth="1"/>
    <col min="16135" max="16135" width="10.85546875" customWidth="1"/>
    <col min="16137" max="16137" width="9.85546875" bestFit="1" customWidth="1"/>
    <col min="16142" max="16142" width="9.42578125" customWidth="1"/>
    <col min="16143" max="16143" width="12" customWidth="1"/>
    <col min="16144" max="16144" width="13.28515625" customWidth="1"/>
    <col min="16147" max="16147" width="11.28515625" customWidth="1"/>
    <col min="16148" max="16148" width="13.140625" customWidth="1"/>
  </cols>
  <sheetData>
    <row r="2" spans="1:19" ht="15.75" thickBot="1">
      <c r="C2" s="28" t="s">
        <v>1012</v>
      </c>
      <c r="D2" s="28"/>
      <c r="E2" s="28"/>
      <c r="F2" s="28"/>
      <c r="G2" s="28" t="s">
        <v>1013</v>
      </c>
      <c r="J2" s="138"/>
      <c r="K2" s="138"/>
      <c r="L2" s="138"/>
      <c r="M2" s="138"/>
      <c r="N2" s="138"/>
      <c r="O2" s="632"/>
    </row>
    <row r="3" spans="1:19">
      <c r="C3" s="240"/>
      <c r="D3" s="241"/>
      <c r="E3" s="241"/>
      <c r="F3" s="241"/>
      <c r="G3" s="241"/>
      <c r="H3" s="241"/>
      <c r="I3" s="241"/>
      <c r="J3" s="264"/>
      <c r="K3" s="264"/>
      <c r="L3" s="264"/>
      <c r="M3" s="264"/>
      <c r="N3" s="264"/>
      <c r="O3" s="633"/>
    </row>
    <row r="4" spans="1:19">
      <c r="A4" s="265" t="s">
        <v>1</v>
      </c>
      <c r="B4" s="266" t="s">
        <v>8</v>
      </c>
      <c r="C4" s="266" t="s">
        <v>1014</v>
      </c>
      <c r="D4" s="266" t="s">
        <v>951</v>
      </c>
      <c r="E4" s="266" t="s">
        <v>1015</v>
      </c>
      <c r="F4" s="266" t="s">
        <v>611</v>
      </c>
      <c r="G4" s="266" t="s">
        <v>919</v>
      </c>
      <c r="H4" s="266" t="s">
        <v>613</v>
      </c>
      <c r="I4" s="266" t="s">
        <v>611</v>
      </c>
      <c r="J4" s="267" t="s">
        <v>614</v>
      </c>
      <c r="K4" s="267" t="s">
        <v>615</v>
      </c>
      <c r="L4" s="267" t="s">
        <v>613</v>
      </c>
      <c r="M4" s="267" t="s">
        <v>611</v>
      </c>
      <c r="N4" s="267" t="s">
        <v>616</v>
      </c>
      <c r="O4" s="268" t="s">
        <v>617</v>
      </c>
      <c r="P4" s="266" t="s">
        <v>7</v>
      </c>
      <c r="Q4" s="266" t="s">
        <v>920</v>
      </c>
      <c r="S4" s="133"/>
    </row>
    <row r="5" spans="1:19">
      <c r="A5" s="269" t="s">
        <v>44</v>
      </c>
      <c r="B5" s="269" t="s">
        <v>1016</v>
      </c>
      <c r="C5" s="270" t="s">
        <v>47</v>
      </c>
      <c r="D5" s="232" t="s">
        <v>48</v>
      </c>
      <c r="E5" s="232" t="s">
        <v>22</v>
      </c>
      <c r="F5" s="59">
        <v>1.08</v>
      </c>
      <c r="G5" s="685">
        <v>7.7000000000000011</v>
      </c>
      <c r="H5" s="60"/>
      <c r="I5" s="59">
        <v>0.8</v>
      </c>
      <c r="J5" s="115">
        <v>6.27</v>
      </c>
      <c r="K5" s="115">
        <v>5.3100000000000005</v>
      </c>
      <c r="L5" s="115">
        <v>0.25</v>
      </c>
      <c r="M5" s="115">
        <v>1</v>
      </c>
      <c r="N5" s="115">
        <v>4.4850000000000003</v>
      </c>
      <c r="O5" s="100">
        <f t="shared" ref="O5:O14" si="0">(F5*(G5-G5*H5)+I5*((J5+K5)-(J5+K5)*L5)/2+M5*N5)*1.015</f>
        <v>16.519124999999999</v>
      </c>
      <c r="P5" t="s">
        <v>45</v>
      </c>
      <c r="Q5" s="248">
        <v>45200</v>
      </c>
      <c r="S5" s="271"/>
    </row>
    <row r="6" spans="1:19">
      <c r="A6" s="272" t="s">
        <v>44</v>
      </c>
      <c r="B6" s="272" t="s">
        <v>1016</v>
      </c>
      <c r="C6" s="226" t="s">
        <v>49</v>
      </c>
      <c r="D6" s="227" t="s">
        <v>50</v>
      </c>
      <c r="E6" s="227" t="s">
        <v>24</v>
      </c>
      <c r="F6" s="11">
        <v>1.08</v>
      </c>
      <c r="G6" s="631">
        <v>9.9</v>
      </c>
      <c r="H6" s="12"/>
      <c r="I6" s="11">
        <v>0.8</v>
      </c>
      <c r="J6" s="92">
        <v>8.9700000000000006</v>
      </c>
      <c r="K6" s="92">
        <v>7.7099999999999991</v>
      </c>
      <c r="L6" s="92">
        <f t="shared" ref="L6:L14" si="1">L5</f>
        <v>0.25</v>
      </c>
      <c r="M6" s="92">
        <v>1</v>
      </c>
      <c r="N6" s="92">
        <v>5.3819999999999997</v>
      </c>
      <c r="O6" s="3">
        <f t="shared" si="0"/>
        <v>21.394170000000003</v>
      </c>
      <c r="P6" t="s">
        <v>45</v>
      </c>
      <c r="Q6" s="248">
        <f>Q5</f>
        <v>45200</v>
      </c>
      <c r="S6" s="271"/>
    </row>
    <row r="7" spans="1:19">
      <c r="A7" s="272" t="s">
        <v>44</v>
      </c>
      <c r="B7" s="272" t="s">
        <v>1016</v>
      </c>
      <c r="C7" s="226" t="s">
        <v>51</v>
      </c>
      <c r="D7" s="227" t="s">
        <v>52</v>
      </c>
      <c r="E7" s="227" t="s">
        <v>26</v>
      </c>
      <c r="F7" s="11">
        <v>1.08</v>
      </c>
      <c r="G7" s="631">
        <v>15.400000000000002</v>
      </c>
      <c r="H7" s="12"/>
      <c r="I7" s="11">
        <v>0.8</v>
      </c>
      <c r="J7" s="92">
        <v>12.99</v>
      </c>
      <c r="K7" s="92">
        <v>13.47</v>
      </c>
      <c r="L7" s="92">
        <f t="shared" si="1"/>
        <v>0.25</v>
      </c>
      <c r="M7" s="92">
        <v>1</v>
      </c>
      <c r="N7" s="92">
        <v>7.2881249999999991</v>
      </c>
      <c r="O7" s="3">
        <f t="shared" si="0"/>
        <v>32.335996874999999</v>
      </c>
      <c r="P7" t="s">
        <v>45</v>
      </c>
      <c r="Q7" s="248">
        <f t="shared" ref="Q7:Q14" si="2">Q6</f>
        <v>45200</v>
      </c>
      <c r="S7" s="271"/>
    </row>
    <row r="8" spans="1:19">
      <c r="A8" s="272" t="s">
        <v>44</v>
      </c>
      <c r="B8" s="272" t="s">
        <v>1016</v>
      </c>
      <c r="C8" s="226" t="s">
        <v>53</v>
      </c>
      <c r="D8" s="227" t="s">
        <v>54</v>
      </c>
      <c r="E8" s="227" t="s">
        <v>28</v>
      </c>
      <c r="F8" s="11">
        <v>1.08</v>
      </c>
      <c r="G8" s="631">
        <v>17.600000000000001</v>
      </c>
      <c r="H8" s="12"/>
      <c r="I8" s="11">
        <v>0.8</v>
      </c>
      <c r="J8" s="92">
        <v>25.410000000000004</v>
      </c>
      <c r="K8" s="92">
        <v>24.599999999999998</v>
      </c>
      <c r="L8" s="92">
        <f t="shared" si="1"/>
        <v>0.25</v>
      </c>
      <c r="M8" s="92">
        <v>1</v>
      </c>
      <c r="N8" s="92">
        <v>9.0148499999999991</v>
      </c>
      <c r="O8" s="3">
        <f t="shared" si="0"/>
        <v>43.671237750000003</v>
      </c>
      <c r="P8" t="s">
        <v>45</v>
      </c>
      <c r="Q8" s="248">
        <f t="shared" si="2"/>
        <v>45200</v>
      </c>
      <c r="S8" s="271"/>
    </row>
    <row r="9" spans="1:19">
      <c r="A9" s="272" t="s">
        <v>44</v>
      </c>
      <c r="B9" s="272" t="s">
        <v>1016</v>
      </c>
      <c r="C9" s="226" t="s">
        <v>55</v>
      </c>
      <c r="D9" s="227" t="s">
        <v>56</v>
      </c>
      <c r="E9" s="227" t="s">
        <v>30</v>
      </c>
      <c r="F9" s="11">
        <v>1.08</v>
      </c>
      <c r="G9" s="631">
        <v>22</v>
      </c>
      <c r="H9" s="12"/>
      <c r="I9" s="11">
        <v>0.8</v>
      </c>
      <c r="J9" s="92">
        <v>33.869999999999997</v>
      </c>
      <c r="K9" s="92">
        <v>31.29</v>
      </c>
      <c r="L9" s="92">
        <f t="shared" si="1"/>
        <v>0.25</v>
      </c>
      <c r="M9" s="92">
        <v>1</v>
      </c>
      <c r="N9" s="92">
        <v>10.920974999999999</v>
      </c>
      <c r="O9" s="3">
        <f t="shared" si="0"/>
        <v>55.042409624999998</v>
      </c>
      <c r="P9" t="s">
        <v>45</v>
      </c>
      <c r="Q9" s="248">
        <f t="shared" si="2"/>
        <v>45200</v>
      </c>
      <c r="S9" s="271"/>
    </row>
    <row r="10" spans="1:19">
      <c r="A10" s="272" t="s">
        <v>44</v>
      </c>
      <c r="B10" s="272" t="s">
        <v>1016</v>
      </c>
      <c r="C10" s="226" t="s">
        <v>57</v>
      </c>
      <c r="D10" s="227" t="s">
        <v>1017</v>
      </c>
      <c r="E10" s="227" t="s">
        <v>32</v>
      </c>
      <c r="F10" s="11">
        <v>1.08</v>
      </c>
      <c r="G10" s="631">
        <v>24.200000000000003</v>
      </c>
      <c r="H10" s="12"/>
      <c r="I10" s="11">
        <v>0.6</v>
      </c>
      <c r="J10" s="92">
        <v>49.349999999999994</v>
      </c>
      <c r="K10" s="92">
        <v>39.36</v>
      </c>
      <c r="L10" s="92">
        <f t="shared" si="1"/>
        <v>0.25</v>
      </c>
      <c r="M10" s="92">
        <v>1</v>
      </c>
      <c r="N10" s="92">
        <v>14.912625000000002</v>
      </c>
      <c r="O10" s="3">
        <f t="shared" si="0"/>
        <v>61.92350062500001</v>
      </c>
      <c r="P10" t="s">
        <v>45</v>
      </c>
      <c r="Q10" s="248">
        <f t="shared" si="2"/>
        <v>45200</v>
      </c>
      <c r="S10" s="271"/>
    </row>
    <row r="11" spans="1:19">
      <c r="A11" s="272" t="s">
        <v>44</v>
      </c>
      <c r="B11" s="272" t="s">
        <v>1016</v>
      </c>
      <c r="C11" s="226" t="s">
        <v>59</v>
      </c>
      <c r="D11" s="227" t="s">
        <v>1018</v>
      </c>
      <c r="E11" s="227" t="s">
        <v>34</v>
      </c>
      <c r="F11" s="11">
        <v>1.08</v>
      </c>
      <c r="G11" s="631">
        <v>38.5</v>
      </c>
      <c r="H11" s="12"/>
      <c r="I11" s="11">
        <v>0.6</v>
      </c>
      <c r="J11" s="92">
        <v>113.88</v>
      </c>
      <c r="K11" s="92">
        <v>105.44999999999999</v>
      </c>
      <c r="L11" s="92">
        <f>L10</f>
        <v>0.25</v>
      </c>
      <c r="M11" s="92">
        <v>1</v>
      </c>
      <c r="N11" s="92">
        <v>17.312100000000001</v>
      </c>
      <c r="O11" s="3">
        <f t="shared" si="0"/>
        <v>109.86497024999998</v>
      </c>
      <c r="P11" t="s">
        <v>45</v>
      </c>
      <c r="Q11" s="248">
        <f t="shared" si="2"/>
        <v>45200</v>
      </c>
      <c r="S11" s="271"/>
    </row>
    <row r="12" spans="1:19">
      <c r="A12" s="272" t="s">
        <v>44</v>
      </c>
      <c r="B12" s="272" t="s">
        <v>1016</v>
      </c>
      <c r="C12" s="226" t="s">
        <v>60</v>
      </c>
      <c r="D12" s="227" t="s">
        <v>61</v>
      </c>
      <c r="E12" s="227" t="s">
        <v>36</v>
      </c>
      <c r="F12" s="11">
        <v>1.06</v>
      </c>
      <c r="G12" s="631">
        <v>41.800000000000004</v>
      </c>
      <c r="H12" s="12"/>
      <c r="I12" s="11">
        <v>0.6</v>
      </c>
      <c r="J12" s="92">
        <v>161.39999999999998</v>
      </c>
      <c r="K12" s="92">
        <v>183.21</v>
      </c>
      <c r="L12" s="92">
        <f>L10</f>
        <v>0.25</v>
      </c>
      <c r="M12" s="92">
        <v>1</v>
      </c>
      <c r="N12" s="92">
        <v>20.317050000000002</v>
      </c>
      <c r="O12" s="3">
        <f t="shared" si="0"/>
        <v>144.29473449999998</v>
      </c>
      <c r="P12" t="s">
        <v>45</v>
      </c>
      <c r="Q12" s="248">
        <f t="shared" si="2"/>
        <v>45200</v>
      </c>
      <c r="S12" s="271"/>
    </row>
    <row r="13" spans="1:19">
      <c r="A13" s="272" t="s">
        <v>44</v>
      </c>
      <c r="B13" s="272" t="s">
        <v>1016</v>
      </c>
      <c r="C13" s="226" t="s">
        <v>62</v>
      </c>
      <c r="D13" s="227" t="s">
        <v>926</v>
      </c>
      <c r="E13" s="227" t="s">
        <v>38</v>
      </c>
      <c r="F13" s="11">
        <v>1.06</v>
      </c>
      <c r="G13" s="631">
        <v>55.000000000000007</v>
      </c>
      <c r="H13" s="12"/>
      <c r="I13" s="11">
        <v>0.5</v>
      </c>
      <c r="J13" s="92">
        <v>540</v>
      </c>
      <c r="K13" s="92">
        <v>360</v>
      </c>
      <c r="L13" s="92">
        <f t="shared" si="1"/>
        <v>0.25</v>
      </c>
      <c r="M13" s="92">
        <v>1</v>
      </c>
      <c r="N13" s="92">
        <v>26.797874999999998</v>
      </c>
      <c r="O13" s="3">
        <f t="shared" si="0"/>
        <v>257.655593125</v>
      </c>
      <c r="P13" t="s">
        <v>45</v>
      </c>
      <c r="Q13" s="248">
        <f t="shared" si="2"/>
        <v>45200</v>
      </c>
      <c r="S13" s="271"/>
    </row>
    <row r="14" spans="1:19">
      <c r="A14" s="272" t="s">
        <v>44</v>
      </c>
      <c r="B14" s="272" t="s">
        <v>1016</v>
      </c>
      <c r="C14" s="226" t="s">
        <v>63</v>
      </c>
      <c r="D14" s="227" t="s">
        <v>64</v>
      </c>
      <c r="E14" s="227" t="s">
        <v>65</v>
      </c>
      <c r="F14" s="11">
        <v>1.06</v>
      </c>
      <c r="G14" s="631">
        <v>105.60000000000001</v>
      </c>
      <c r="H14" s="12"/>
      <c r="I14" s="11">
        <v>0.5</v>
      </c>
      <c r="J14" s="92">
        <v>323.25</v>
      </c>
      <c r="K14" s="92">
        <v>274.5</v>
      </c>
      <c r="L14" s="92">
        <f t="shared" si="1"/>
        <v>0.25</v>
      </c>
      <c r="M14" s="92">
        <v>1</v>
      </c>
      <c r="N14" s="92">
        <v>26.797874999999998</v>
      </c>
      <c r="O14" s="3">
        <f t="shared" si="0"/>
        <v>254.57418000000001</v>
      </c>
      <c r="P14" t="s">
        <v>45</v>
      </c>
      <c r="Q14" s="248">
        <f t="shared" si="2"/>
        <v>45200</v>
      </c>
      <c r="S14" s="271"/>
    </row>
    <row r="17" spans="1:19" ht="15.75" thickBot="1">
      <c r="C17" s="28" t="s">
        <v>1012</v>
      </c>
      <c r="D17" s="28"/>
      <c r="E17" s="28"/>
      <c r="F17" s="28"/>
      <c r="G17" s="28" t="s">
        <v>1019</v>
      </c>
      <c r="J17" s="138"/>
      <c r="K17" s="138"/>
      <c r="L17" s="138"/>
      <c r="M17" s="138"/>
      <c r="N17" s="138"/>
      <c r="O17" s="632"/>
    </row>
    <row r="18" spans="1:19">
      <c r="C18" s="240"/>
      <c r="D18" s="241"/>
      <c r="E18" s="241"/>
      <c r="F18" s="241"/>
      <c r="G18" s="241"/>
      <c r="H18" s="241"/>
      <c r="I18" s="241"/>
      <c r="J18" s="264"/>
      <c r="K18" s="264"/>
      <c r="L18" s="264"/>
      <c r="M18" s="264"/>
      <c r="N18" s="264"/>
      <c r="O18" s="633"/>
    </row>
    <row r="19" spans="1:19">
      <c r="C19" s="273" t="s">
        <v>769</v>
      </c>
      <c r="D19" t="s">
        <v>1020</v>
      </c>
      <c r="F19" t="s">
        <v>611</v>
      </c>
      <c r="G19" t="s">
        <v>919</v>
      </c>
      <c r="H19" t="s">
        <v>613</v>
      </c>
      <c r="I19" t="s">
        <v>611</v>
      </c>
      <c r="J19" s="138" t="s">
        <v>614</v>
      </c>
      <c r="K19" s="138" t="s">
        <v>615</v>
      </c>
      <c r="L19" s="138" t="s">
        <v>613</v>
      </c>
      <c r="M19" s="138" t="s">
        <v>611</v>
      </c>
      <c r="N19" s="138" t="s">
        <v>616</v>
      </c>
      <c r="O19" s="634" t="s">
        <v>617</v>
      </c>
      <c r="S19" s="133"/>
    </row>
    <row r="20" spans="1:19">
      <c r="A20" s="272" t="s">
        <v>1021</v>
      </c>
      <c r="B20" s="272" t="s">
        <v>69</v>
      </c>
      <c r="C20" s="226" t="s">
        <v>47</v>
      </c>
      <c r="D20" s="227" t="s">
        <v>48</v>
      </c>
      <c r="E20" s="227" t="s">
        <v>22</v>
      </c>
      <c r="F20" s="11">
        <v>1.08</v>
      </c>
      <c r="G20" s="631">
        <v>20.66</v>
      </c>
      <c r="H20" s="12"/>
      <c r="I20" s="11">
        <v>0.8</v>
      </c>
      <c r="J20" s="92">
        <v>6.27</v>
      </c>
      <c r="K20" s="92">
        <v>5.3100000000000005</v>
      </c>
      <c r="L20" s="92">
        <v>0.25</v>
      </c>
      <c r="M20" s="92">
        <v>1</v>
      </c>
      <c r="N20" s="92">
        <v>4.4850000000000003</v>
      </c>
      <c r="O20" s="3">
        <f t="shared" ref="O20:O28" si="3">(F20*(G20-G20*H20)+I20*((J20+K20)-(J20+K20)*L20)/2+M20*N20)*1.015</f>
        <v>30.725877000000001</v>
      </c>
      <c r="P20" t="str">
        <f t="shared" ref="P20:Q31" si="4">P5</f>
        <v>Tasta</v>
      </c>
      <c r="Q20" s="248">
        <f t="shared" si="4"/>
        <v>45200</v>
      </c>
      <c r="S20" s="271"/>
    </row>
    <row r="21" spans="1:19">
      <c r="A21" s="272" t="s">
        <v>1021</v>
      </c>
      <c r="B21" s="272" t="s">
        <v>69</v>
      </c>
      <c r="C21" s="226" t="s">
        <v>49</v>
      </c>
      <c r="D21" s="227" t="s">
        <v>50</v>
      </c>
      <c r="E21" s="227" t="s">
        <v>24</v>
      </c>
      <c r="F21" s="11">
        <v>1.08</v>
      </c>
      <c r="G21" s="631">
        <v>24.38</v>
      </c>
      <c r="H21" s="12"/>
      <c r="I21" s="11">
        <v>0.8</v>
      </c>
      <c r="J21" s="92">
        <v>8.9700000000000006</v>
      </c>
      <c r="K21" s="92">
        <v>7.7099999999999991</v>
      </c>
      <c r="L21" s="92">
        <f t="shared" ref="L21:L29" si="5">L20</f>
        <v>0.25</v>
      </c>
      <c r="M21" s="92">
        <v>1</v>
      </c>
      <c r="N21" s="92">
        <v>5.3819999999999997</v>
      </c>
      <c r="O21" s="3">
        <f t="shared" si="3"/>
        <v>37.267145999999997</v>
      </c>
      <c r="P21" t="str">
        <f t="shared" si="4"/>
        <v>Tasta</v>
      </c>
      <c r="Q21" s="248">
        <f t="shared" si="4"/>
        <v>45200</v>
      </c>
      <c r="S21" s="271"/>
    </row>
    <row r="22" spans="1:19">
      <c r="A22" s="272" t="s">
        <v>1021</v>
      </c>
      <c r="B22" s="272" t="s">
        <v>69</v>
      </c>
      <c r="C22" s="226" t="s">
        <v>51</v>
      </c>
      <c r="D22" s="227" t="s">
        <v>52</v>
      </c>
      <c r="E22" s="227" t="s">
        <v>26</v>
      </c>
      <c r="F22" s="11">
        <v>1.08</v>
      </c>
      <c r="G22" s="631">
        <v>34.35</v>
      </c>
      <c r="H22" s="12"/>
      <c r="I22" s="11">
        <v>0.8</v>
      </c>
      <c r="J22" s="92">
        <v>12.99</v>
      </c>
      <c r="K22" s="92">
        <v>13.47</v>
      </c>
      <c r="L22" s="92">
        <f t="shared" si="5"/>
        <v>0.25</v>
      </c>
      <c r="M22" s="92">
        <v>1</v>
      </c>
      <c r="N22" s="92">
        <v>7.2881249999999991</v>
      </c>
      <c r="O22" s="3">
        <f t="shared" si="3"/>
        <v>53.108986875000006</v>
      </c>
      <c r="P22" t="str">
        <f t="shared" si="4"/>
        <v>Tasta</v>
      </c>
      <c r="Q22" s="248">
        <f t="shared" si="4"/>
        <v>45200</v>
      </c>
      <c r="S22" s="271"/>
    </row>
    <row r="23" spans="1:19">
      <c r="A23" s="272" t="s">
        <v>1021</v>
      </c>
      <c r="B23" s="272" t="s">
        <v>69</v>
      </c>
      <c r="C23" s="226" t="s">
        <v>53</v>
      </c>
      <c r="D23" s="227" t="s">
        <v>54</v>
      </c>
      <c r="E23" s="227" t="s">
        <v>28</v>
      </c>
      <c r="F23" s="11">
        <v>1.08</v>
      </c>
      <c r="G23" s="631">
        <v>44.87</v>
      </c>
      <c r="H23" s="12"/>
      <c r="I23" s="11">
        <v>0.8</v>
      </c>
      <c r="J23" s="92">
        <v>25.410000000000004</v>
      </c>
      <c r="K23" s="92">
        <v>24.599999999999998</v>
      </c>
      <c r="L23" s="92">
        <f t="shared" si="5"/>
        <v>0.25</v>
      </c>
      <c r="M23" s="92">
        <v>1</v>
      </c>
      <c r="N23" s="92">
        <v>9.0148499999999991</v>
      </c>
      <c r="O23" s="3">
        <f t="shared" si="3"/>
        <v>73.564611749999997</v>
      </c>
      <c r="P23" t="str">
        <f t="shared" si="4"/>
        <v>Tasta</v>
      </c>
      <c r="Q23" s="248">
        <f t="shared" si="4"/>
        <v>45200</v>
      </c>
      <c r="S23" s="271"/>
    </row>
    <row r="24" spans="1:19">
      <c r="A24" s="272" t="s">
        <v>1021</v>
      </c>
      <c r="B24" s="272" t="s">
        <v>69</v>
      </c>
      <c r="C24" s="226" t="s">
        <v>55</v>
      </c>
      <c r="D24" s="227" t="s">
        <v>56</v>
      </c>
      <c r="E24" s="227" t="s">
        <v>30</v>
      </c>
      <c r="F24" s="11">
        <v>1.08</v>
      </c>
      <c r="G24" s="631">
        <v>50.34</v>
      </c>
      <c r="H24" s="12"/>
      <c r="I24" s="11">
        <v>0.8</v>
      </c>
      <c r="J24" s="92">
        <v>33.869999999999997</v>
      </c>
      <c r="K24" s="92">
        <v>31.29</v>
      </c>
      <c r="L24" s="92">
        <f t="shared" si="5"/>
        <v>0.25</v>
      </c>
      <c r="M24" s="92">
        <v>1</v>
      </c>
      <c r="N24" s="92">
        <v>10.920974999999999</v>
      </c>
      <c r="O24" s="3">
        <f t="shared" si="3"/>
        <v>86.108717624999983</v>
      </c>
      <c r="P24" t="str">
        <f t="shared" si="4"/>
        <v>Tasta</v>
      </c>
      <c r="Q24" s="248">
        <f t="shared" si="4"/>
        <v>45200</v>
      </c>
      <c r="S24" s="271"/>
    </row>
    <row r="25" spans="1:19">
      <c r="A25" s="272" t="s">
        <v>1021</v>
      </c>
      <c r="B25" s="272" t="s">
        <v>69</v>
      </c>
      <c r="C25" s="226" t="s">
        <v>57</v>
      </c>
      <c r="D25" s="227" t="s">
        <v>1017</v>
      </c>
      <c r="E25" s="227" t="s">
        <v>32</v>
      </c>
      <c r="F25" s="11">
        <v>1.08</v>
      </c>
      <c r="G25" s="631">
        <v>65.819999999999993</v>
      </c>
      <c r="H25" s="12"/>
      <c r="I25" s="11">
        <v>0.6</v>
      </c>
      <c r="J25" s="92">
        <v>49.349999999999994</v>
      </c>
      <c r="K25" s="92">
        <v>39.36</v>
      </c>
      <c r="L25" s="92">
        <f t="shared" si="5"/>
        <v>0.25</v>
      </c>
      <c r="M25" s="92">
        <v>1</v>
      </c>
      <c r="N25" s="92">
        <v>14.912625000000002</v>
      </c>
      <c r="O25" s="3">
        <f t="shared" si="3"/>
        <v>107.54734462499999</v>
      </c>
      <c r="P25" t="str">
        <f t="shared" si="4"/>
        <v>Tasta</v>
      </c>
      <c r="Q25" s="248">
        <f t="shared" si="4"/>
        <v>45200</v>
      </c>
      <c r="S25" s="271"/>
    </row>
    <row r="26" spans="1:19">
      <c r="A26" s="272" t="s">
        <v>1021</v>
      </c>
      <c r="B26" s="272" t="s">
        <v>69</v>
      </c>
      <c r="C26" s="226" t="s">
        <v>59</v>
      </c>
      <c r="D26" s="227" t="s">
        <v>1018</v>
      </c>
      <c r="E26" s="227" t="s">
        <v>34</v>
      </c>
      <c r="F26" s="11">
        <v>1.08</v>
      </c>
      <c r="G26" s="631">
        <v>84.35</v>
      </c>
      <c r="H26" s="12"/>
      <c r="I26" s="11">
        <v>0.6</v>
      </c>
      <c r="J26" s="92">
        <v>113.88</v>
      </c>
      <c r="K26" s="92">
        <v>105.44999999999999</v>
      </c>
      <c r="L26" s="92">
        <f>L25</f>
        <v>0.25</v>
      </c>
      <c r="M26" s="92">
        <v>1</v>
      </c>
      <c r="N26" s="92">
        <v>17.312100000000001</v>
      </c>
      <c r="O26" s="3">
        <f t="shared" si="3"/>
        <v>160.12574024999998</v>
      </c>
      <c r="P26" t="str">
        <f t="shared" si="4"/>
        <v>Tasta</v>
      </c>
      <c r="Q26" s="248">
        <f t="shared" si="4"/>
        <v>45200</v>
      </c>
      <c r="S26" s="271"/>
    </row>
    <row r="27" spans="1:19">
      <c r="A27" s="272" t="s">
        <v>1021</v>
      </c>
      <c r="B27" s="272" t="s">
        <v>69</v>
      </c>
      <c r="C27" s="226" t="s">
        <v>60</v>
      </c>
      <c r="D27" s="227" t="s">
        <v>61</v>
      </c>
      <c r="E27" s="227" t="s">
        <v>36</v>
      </c>
      <c r="F27" s="11">
        <v>1.06</v>
      </c>
      <c r="G27" s="631">
        <v>100.10000000000001</v>
      </c>
      <c r="H27" s="12"/>
      <c r="I27" s="11">
        <v>0.6</v>
      </c>
      <c r="J27" s="92">
        <v>161.39999999999998</v>
      </c>
      <c r="K27" s="92">
        <v>183.21</v>
      </c>
      <c r="L27" s="92">
        <f>L25</f>
        <v>0.25</v>
      </c>
      <c r="M27" s="92">
        <v>1</v>
      </c>
      <c r="N27" s="92">
        <v>20.317050000000002</v>
      </c>
      <c r="O27" s="3">
        <f t="shared" si="3"/>
        <v>207.01970449999996</v>
      </c>
      <c r="P27" t="str">
        <f t="shared" si="4"/>
        <v>Tasta</v>
      </c>
      <c r="Q27" s="248">
        <f t="shared" si="4"/>
        <v>45200</v>
      </c>
      <c r="S27" s="271"/>
    </row>
    <row r="28" spans="1:19">
      <c r="A28" s="272" t="s">
        <v>1021</v>
      </c>
      <c r="B28" s="272" t="s">
        <v>69</v>
      </c>
      <c r="C28" s="226" t="s">
        <v>62</v>
      </c>
      <c r="D28" s="227" t="s">
        <v>926</v>
      </c>
      <c r="E28" s="227" t="s">
        <v>38</v>
      </c>
      <c r="F28" s="11">
        <v>1.06</v>
      </c>
      <c r="G28" s="631">
        <v>142.1</v>
      </c>
      <c r="H28" s="12"/>
      <c r="I28" s="11">
        <v>0.5</v>
      </c>
      <c r="J28" s="92">
        <v>540</v>
      </c>
      <c r="K28" s="92">
        <v>360</v>
      </c>
      <c r="L28" s="92">
        <f t="shared" si="5"/>
        <v>0.25</v>
      </c>
      <c r="M28" s="92">
        <v>1</v>
      </c>
      <c r="N28" s="92">
        <v>26.797874999999998</v>
      </c>
      <c r="O28" s="3">
        <f t="shared" si="3"/>
        <v>351.36648312499995</v>
      </c>
      <c r="P28" t="str">
        <f t="shared" si="4"/>
        <v>Tasta</v>
      </c>
      <c r="Q28" s="248">
        <f t="shared" si="4"/>
        <v>45200</v>
      </c>
      <c r="S28" s="271"/>
    </row>
    <row r="29" spans="1:19">
      <c r="A29" s="272" t="s">
        <v>1021</v>
      </c>
      <c r="B29" s="272" t="s">
        <v>69</v>
      </c>
      <c r="C29" s="226" t="s">
        <v>63</v>
      </c>
      <c r="D29" s="227" t="s">
        <v>64</v>
      </c>
      <c r="E29" s="227" t="s">
        <v>65</v>
      </c>
      <c r="F29" s="11">
        <v>1.06</v>
      </c>
      <c r="G29" s="631">
        <v>164.81</v>
      </c>
      <c r="H29" s="12"/>
      <c r="I29" s="11">
        <v>0.5</v>
      </c>
      <c r="J29" s="92">
        <v>323.25</v>
      </c>
      <c r="K29" s="92">
        <v>274.5</v>
      </c>
      <c r="L29" s="92">
        <f t="shared" si="5"/>
        <v>0.25</v>
      </c>
      <c r="M29" s="92">
        <v>1</v>
      </c>
      <c r="N29" s="92">
        <v>26.797874999999998</v>
      </c>
      <c r="O29" s="3">
        <f>(F29*(G29-G29*H29)+I29*((J29+K29)-(J29+K29)*L29)/2+M29*N29)*1.015</f>
        <v>318.27821899999992</v>
      </c>
      <c r="P29" t="str">
        <f t="shared" si="4"/>
        <v>Tasta</v>
      </c>
      <c r="Q29" s="248">
        <f t="shared" si="4"/>
        <v>45200</v>
      </c>
      <c r="S29" s="271"/>
    </row>
    <row r="30" spans="1:19">
      <c r="A30" s="272" t="s">
        <v>1021</v>
      </c>
      <c r="B30" s="272" t="s">
        <v>69</v>
      </c>
      <c r="C30" s="226" t="s">
        <v>1022</v>
      </c>
      <c r="D30" s="227" t="s">
        <v>85</v>
      </c>
      <c r="E30" s="227"/>
      <c r="F30" s="11">
        <v>1.06</v>
      </c>
      <c r="G30" s="631">
        <v>201.25</v>
      </c>
      <c r="H30" s="12"/>
      <c r="I30" s="11">
        <v>0.5</v>
      </c>
      <c r="J30" s="274">
        <v>530</v>
      </c>
      <c r="K30" s="274">
        <v>245</v>
      </c>
      <c r="L30" s="92">
        <v>0.25</v>
      </c>
      <c r="M30" s="92">
        <v>1</v>
      </c>
      <c r="N30" s="92">
        <v>49.87</v>
      </c>
      <c r="O30" s="3">
        <f>(F30*(G30-G30*H30)+I30*((J30+K30)-(J30+K30)*L30)/2+M30*N30)*1.015</f>
        <v>414.63511249999999</v>
      </c>
      <c r="P30">
        <f>P15</f>
        <v>0</v>
      </c>
      <c r="Q30" s="248">
        <f t="shared" si="4"/>
        <v>0</v>
      </c>
      <c r="S30" s="271"/>
    </row>
    <row r="31" spans="1:19">
      <c r="A31" s="272" t="s">
        <v>1021</v>
      </c>
      <c r="B31" s="272" t="s">
        <v>69</v>
      </c>
      <c r="C31" s="226" t="s">
        <v>72</v>
      </c>
      <c r="D31" s="227" t="s">
        <v>73</v>
      </c>
      <c r="E31" s="227"/>
      <c r="F31" s="11">
        <v>1.06</v>
      </c>
      <c r="G31" s="631">
        <v>450</v>
      </c>
      <c r="H31" s="12"/>
      <c r="I31" s="11">
        <v>0.5</v>
      </c>
      <c r="J31" s="274">
        <v>700</v>
      </c>
      <c r="K31" s="274">
        <v>250</v>
      </c>
      <c r="L31" s="92">
        <f>L28</f>
        <v>0.25</v>
      </c>
      <c r="M31" s="92">
        <v>1</v>
      </c>
      <c r="N31" s="92">
        <v>66.994687499999998</v>
      </c>
      <c r="O31" s="3">
        <f>(F31*(G31-G31*H31)+I31*((J31+K31)-(J31+K31)*L31)/2+M31*N31)*1.015</f>
        <v>732.95148281249999</v>
      </c>
      <c r="P31">
        <f>P16</f>
        <v>0</v>
      </c>
      <c r="Q31" s="248">
        <f t="shared" si="4"/>
        <v>0</v>
      </c>
    </row>
    <row r="32" spans="1:19">
      <c r="C32" s="226"/>
      <c r="D32" s="227"/>
      <c r="E32" s="227"/>
      <c r="F32" s="11"/>
      <c r="G32" s="631"/>
      <c r="H32" s="12"/>
      <c r="I32" s="11"/>
      <c r="J32" s="274"/>
      <c r="K32" s="274"/>
      <c r="L32" s="92"/>
      <c r="M32" s="92"/>
      <c r="N32" s="92"/>
      <c r="O32" s="3"/>
    </row>
    <row r="33" spans="1:17">
      <c r="C33" s="226"/>
      <c r="D33" s="227"/>
      <c r="E33" s="227"/>
      <c r="F33" s="11"/>
      <c r="G33" s="631"/>
      <c r="H33" s="12"/>
      <c r="I33" s="11"/>
      <c r="J33" s="275"/>
      <c r="K33" s="275"/>
      <c r="L33" s="92"/>
      <c r="M33" s="92"/>
      <c r="N33" s="92"/>
      <c r="O33" s="3"/>
    </row>
    <row r="36" spans="1:17" ht="15.75" thickBot="1">
      <c r="A36" s="40"/>
      <c r="B36" s="40"/>
      <c r="D36" s="28" t="s">
        <v>1023</v>
      </c>
      <c r="E36" s="276">
        <v>45736</v>
      </c>
      <c r="F36" s="28"/>
      <c r="G36" s="28" t="s">
        <v>1024</v>
      </c>
      <c r="J36" s="138"/>
      <c r="K36" s="138"/>
      <c r="L36" s="138"/>
      <c r="M36" s="138"/>
      <c r="N36" s="138" t="s">
        <v>1025</v>
      </c>
      <c r="O36" s="632"/>
    </row>
    <row r="37" spans="1:17">
      <c r="A37" s="40"/>
      <c r="B37" s="40"/>
      <c r="D37" s="240"/>
      <c r="E37" s="241"/>
      <c r="F37" s="241"/>
      <c r="G37" s="241"/>
      <c r="H37" s="241"/>
      <c r="I37" s="241"/>
      <c r="J37" s="264"/>
      <c r="K37" s="264"/>
      <c r="L37" s="264"/>
      <c r="M37" s="264"/>
      <c r="N37" s="264"/>
      <c r="O37" s="633"/>
    </row>
    <row r="38" spans="1:17">
      <c r="A38" s="40"/>
      <c r="B38" s="40"/>
      <c r="D38" s="277"/>
      <c r="J38" s="138"/>
      <c r="K38" s="138"/>
      <c r="L38" s="138"/>
      <c r="M38" s="138"/>
      <c r="N38" s="138"/>
      <c r="O38" s="634"/>
    </row>
    <row r="39" spans="1:17">
      <c r="A39" s="40"/>
      <c r="B39" s="40"/>
      <c r="D39" s="273"/>
      <c r="J39" s="138"/>
      <c r="K39" s="138"/>
      <c r="L39" s="138"/>
      <c r="M39" s="138"/>
      <c r="N39" s="278"/>
      <c r="O39" s="634"/>
    </row>
    <row r="40" spans="1:17">
      <c r="A40" s="279" t="s">
        <v>1</v>
      </c>
      <c r="B40" s="279" t="s">
        <v>8</v>
      </c>
      <c r="C40" s="148" t="s">
        <v>1014</v>
      </c>
      <c r="D40" s="148" t="s">
        <v>951</v>
      </c>
      <c r="E40" s="148" t="s">
        <v>1015</v>
      </c>
      <c r="F40" t="s">
        <v>611</v>
      </c>
      <c r="G40" t="s">
        <v>919</v>
      </c>
      <c r="H40" t="s">
        <v>613</v>
      </c>
      <c r="I40" t="s">
        <v>611</v>
      </c>
      <c r="J40" s="138" t="s">
        <v>614</v>
      </c>
      <c r="K40" s="138" t="s">
        <v>615</v>
      </c>
      <c r="L40" s="138" t="s">
        <v>613</v>
      </c>
      <c r="M40" s="138" t="s">
        <v>611</v>
      </c>
      <c r="N40" s="138" t="s">
        <v>616</v>
      </c>
      <c r="O40" s="634" t="s">
        <v>617</v>
      </c>
    </row>
    <row r="41" spans="1:17">
      <c r="A41" s="237" t="s">
        <v>71</v>
      </c>
      <c r="B41" s="237" t="s">
        <v>1025</v>
      </c>
      <c r="C41" s="148" t="s">
        <v>47</v>
      </c>
      <c r="D41" s="280" t="s">
        <v>48</v>
      </c>
      <c r="E41" s="280" t="s">
        <v>22</v>
      </c>
      <c r="F41" s="281">
        <v>1.08</v>
      </c>
      <c r="G41" s="631">
        <v>7.7000000000000011</v>
      </c>
      <c r="H41" s="12"/>
      <c r="I41" s="11">
        <v>0.8</v>
      </c>
      <c r="J41" s="282"/>
      <c r="K41" s="282"/>
      <c r="L41" s="274"/>
      <c r="M41" s="274"/>
      <c r="N41" s="274"/>
      <c r="O41" s="2"/>
      <c r="P41" s="283" t="s">
        <v>45</v>
      </c>
      <c r="Q41" s="248">
        <v>45717</v>
      </c>
    </row>
    <row r="42" spans="1:17">
      <c r="A42" s="237" t="s">
        <v>71</v>
      </c>
      <c r="B42" s="237" t="str">
        <f>B41</f>
        <v>P235TR1</v>
      </c>
      <c r="C42" s="148" t="s">
        <v>49</v>
      </c>
      <c r="D42" s="280" t="s">
        <v>50</v>
      </c>
      <c r="E42" s="280" t="s">
        <v>24</v>
      </c>
      <c r="F42" s="281">
        <v>1.08</v>
      </c>
      <c r="G42" s="631">
        <v>9.9</v>
      </c>
      <c r="H42" s="12"/>
      <c r="I42" s="11">
        <v>0.8</v>
      </c>
      <c r="J42" s="282"/>
      <c r="K42" s="282"/>
      <c r="L42" s="274"/>
      <c r="M42" s="274"/>
      <c r="N42" s="274"/>
      <c r="O42" s="2"/>
      <c r="P42" s="283" t="s">
        <v>45</v>
      </c>
      <c r="Q42" s="248">
        <f>Q41</f>
        <v>45717</v>
      </c>
    </row>
    <row r="43" spans="1:17">
      <c r="A43" s="237" t="s">
        <v>71</v>
      </c>
      <c r="B43" s="237" t="str">
        <f t="shared" ref="B43:B52" si="6">B42</f>
        <v>P235TR1</v>
      </c>
      <c r="C43" s="148" t="s">
        <v>51</v>
      </c>
      <c r="D43" s="280" t="s">
        <v>52</v>
      </c>
      <c r="E43" s="280" t="s">
        <v>26</v>
      </c>
      <c r="F43" s="281">
        <v>1.08</v>
      </c>
      <c r="G43" s="631">
        <v>15.400000000000002</v>
      </c>
      <c r="H43" s="12"/>
      <c r="I43" s="11">
        <v>0.8</v>
      </c>
      <c r="J43" s="92">
        <f>18+3*13.02</f>
        <v>57.06</v>
      </c>
      <c r="K43" s="92">
        <f>12.72+2*13.02</f>
        <v>38.76</v>
      </c>
      <c r="L43" s="92"/>
      <c r="M43" s="92">
        <v>1</v>
      </c>
      <c r="N43" s="92">
        <v>7.2881249999999991</v>
      </c>
      <c r="O43" s="3">
        <f>((F43*(G43-G43*H43)+I43*((J43+K43)-(J43+K43)*L43)/2+M43*N43)*1.015)*1.05</f>
        <v>66.340939218749995</v>
      </c>
      <c r="P43" s="283" t="s">
        <v>45</v>
      </c>
      <c r="Q43" s="248">
        <f t="shared" ref="Q43:Q52" si="7">Q42</f>
        <v>45717</v>
      </c>
    </row>
    <row r="44" spans="1:17">
      <c r="A44" s="237" t="s">
        <v>71</v>
      </c>
      <c r="B44" s="237" t="str">
        <f t="shared" si="6"/>
        <v>P235TR1</v>
      </c>
      <c r="C44" s="148" t="s">
        <v>53</v>
      </c>
      <c r="D44" s="280" t="s">
        <v>54</v>
      </c>
      <c r="E44" s="280" t="s">
        <v>28</v>
      </c>
      <c r="F44" s="281">
        <v>1.08</v>
      </c>
      <c r="G44" s="631">
        <v>17.600000000000001</v>
      </c>
      <c r="H44" s="12"/>
      <c r="I44" s="11">
        <v>0.8</v>
      </c>
      <c r="J44" s="92">
        <f>20.76+3*13.56</f>
        <v>61.44</v>
      </c>
      <c r="K44" s="92">
        <f>13.02+2*13.56</f>
        <v>40.14</v>
      </c>
      <c r="L44" s="92"/>
      <c r="M44" s="92">
        <v>1</v>
      </c>
      <c r="N44" s="92">
        <v>9.0148499999999991</v>
      </c>
      <c r="O44" s="3">
        <f>((F44*(G44-G44*H44)+I44*((J44+K44)-(J44+K44)*L44)/2+M44*N44)*1.015)*1.05</f>
        <v>73.168906387500002</v>
      </c>
      <c r="P44" s="283" t="s">
        <v>45</v>
      </c>
      <c r="Q44" s="248">
        <f t="shared" si="7"/>
        <v>45717</v>
      </c>
    </row>
    <row r="45" spans="1:17">
      <c r="A45" s="237" t="s">
        <v>71</v>
      </c>
      <c r="B45" s="237" t="str">
        <f t="shared" si="6"/>
        <v>P235TR1</v>
      </c>
      <c r="C45" s="148" t="s">
        <v>55</v>
      </c>
      <c r="D45" s="280" t="s">
        <v>56</v>
      </c>
      <c r="E45" s="280" t="s">
        <v>30</v>
      </c>
      <c r="F45" s="281">
        <v>1.08</v>
      </c>
      <c r="G45" s="631"/>
      <c r="H45" s="12"/>
      <c r="I45" s="11">
        <v>0.8</v>
      </c>
      <c r="J45" s="92"/>
      <c r="K45" s="92"/>
      <c r="L45" s="92"/>
      <c r="M45" s="92"/>
      <c r="N45" s="92"/>
      <c r="O45" s="2">
        <v>75</v>
      </c>
      <c r="P45" s="283" t="s">
        <v>45</v>
      </c>
      <c r="Q45" s="248">
        <f t="shared" si="7"/>
        <v>45717</v>
      </c>
    </row>
    <row r="46" spans="1:17">
      <c r="A46" s="237" t="s">
        <v>71</v>
      </c>
      <c r="B46" s="237" t="str">
        <f t="shared" si="6"/>
        <v>P235TR1</v>
      </c>
      <c r="C46" s="148" t="s">
        <v>57</v>
      </c>
      <c r="D46" s="280" t="s">
        <v>1017</v>
      </c>
      <c r="E46" s="280" t="s">
        <v>32</v>
      </c>
      <c r="F46" s="281">
        <v>1.08</v>
      </c>
      <c r="G46" s="631">
        <v>24.200000000000003</v>
      </c>
      <c r="H46" s="12"/>
      <c r="I46" s="11">
        <v>0.6</v>
      </c>
      <c r="J46" s="92">
        <f>27.84+3*16.44</f>
        <v>77.160000000000011</v>
      </c>
      <c r="K46" s="92">
        <f>16.08+2*16.44</f>
        <v>48.96</v>
      </c>
      <c r="L46" s="92"/>
      <c r="M46" s="92">
        <v>1</v>
      </c>
      <c r="N46" s="92">
        <v>14.912625000000002</v>
      </c>
      <c r="O46" s="3">
        <f t="shared" ref="O46:O52" si="8">((F46*(G46-G46*H46)+I46*((J46+K46)-(J46+K46)*L46)/2+M46*N46)*1.015)*1.05</f>
        <v>84.071289093750011</v>
      </c>
      <c r="P46" s="283" t="s">
        <v>45</v>
      </c>
      <c r="Q46" s="248">
        <f t="shared" si="7"/>
        <v>45717</v>
      </c>
    </row>
    <row r="47" spans="1:17">
      <c r="A47" s="237" t="s">
        <v>71</v>
      </c>
      <c r="B47" s="237" t="str">
        <f t="shared" si="6"/>
        <v>P235TR1</v>
      </c>
      <c r="C47" s="148" t="s">
        <v>59</v>
      </c>
      <c r="D47" s="280" t="s">
        <v>1018</v>
      </c>
      <c r="E47" s="280" t="s">
        <v>34</v>
      </c>
      <c r="F47" s="281">
        <v>1.08</v>
      </c>
      <c r="G47" s="631">
        <v>38.5</v>
      </c>
      <c r="H47" s="12"/>
      <c r="I47" s="11">
        <v>0.6</v>
      </c>
      <c r="J47" s="92">
        <f>38.28+3*92.4</f>
        <v>315.48</v>
      </c>
      <c r="K47" s="92">
        <f>22.02+2*92.4</f>
        <v>206.82000000000002</v>
      </c>
      <c r="L47" s="92"/>
      <c r="M47" s="92">
        <v>1</v>
      </c>
      <c r="N47" s="92">
        <v>17.312100000000001</v>
      </c>
      <c r="O47" s="3">
        <f t="shared" si="8"/>
        <v>229.75662307500002</v>
      </c>
      <c r="P47" s="283" t="s">
        <v>45</v>
      </c>
      <c r="Q47" s="248">
        <f t="shared" si="7"/>
        <v>45717</v>
      </c>
    </row>
    <row r="48" spans="1:17">
      <c r="A48" s="237" t="s">
        <v>71</v>
      </c>
      <c r="B48" s="237" t="str">
        <f t="shared" si="6"/>
        <v>P235TR1</v>
      </c>
      <c r="C48" s="148" t="s">
        <v>60</v>
      </c>
      <c r="D48" s="280" t="s">
        <v>61</v>
      </c>
      <c r="E48" s="280" t="s">
        <v>36</v>
      </c>
      <c r="F48" s="281">
        <v>1.06</v>
      </c>
      <c r="G48" s="631">
        <v>41.800000000000004</v>
      </c>
      <c r="H48" s="12"/>
      <c r="I48" s="11">
        <v>0.6</v>
      </c>
      <c r="J48" s="92">
        <f>53.7+3*99</f>
        <v>350.7</v>
      </c>
      <c r="K48" s="92">
        <f>30.66+2*99</f>
        <v>228.66</v>
      </c>
      <c r="L48" s="92"/>
      <c r="M48" s="92">
        <v>1</v>
      </c>
      <c r="N48" s="92">
        <v>20.317050000000002</v>
      </c>
      <c r="O48" s="3">
        <f t="shared" si="8"/>
        <v>254.11002303749996</v>
      </c>
      <c r="P48" s="283" t="s">
        <v>45</v>
      </c>
      <c r="Q48" s="248">
        <f t="shared" si="7"/>
        <v>45717</v>
      </c>
    </row>
    <row r="49" spans="1:17">
      <c r="A49" s="237" t="s">
        <v>71</v>
      </c>
      <c r="B49" s="237" t="str">
        <f t="shared" si="6"/>
        <v>P235TR1</v>
      </c>
      <c r="C49" s="148" t="s">
        <v>62</v>
      </c>
      <c r="D49" s="280" t="s">
        <v>926</v>
      </c>
      <c r="E49" s="280" t="s">
        <v>38</v>
      </c>
      <c r="F49" s="281">
        <v>1.06</v>
      </c>
      <c r="G49" s="631">
        <v>55.000000000000007</v>
      </c>
      <c r="H49" s="12"/>
      <c r="I49" s="11">
        <v>0.5</v>
      </c>
      <c r="J49" s="92">
        <f>85.8+3*139.62</f>
        <v>504.66</v>
      </c>
      <c r="K49" s="92">
        <f>45+2*139.62</f>
        <v>324.24</v>
      </c>
      <c r="L49" s="92"/>
      <c r="M49" s="92">
        <v>1</v>
      </c>
      <c r="N49" s="92">
        <v>26.797874999999998</v>
      </c>
      <c r="O49" s="3">
        <f t="shared" si="8"/>
        <v>311.54310403124998</v>
      </c>
      <c r="P49" s="283" t="s">
        <v>45</v>
      </c>
      <c r="Q49" s="248">
        <f t="shared" si="7"/>
        <v>45717</v>
      </c>
    </row>
    <row r="50" spans="1:17">
      <c r="A50" s="237" t="s">
        <v>71</v>
      </c>
      <c r="B50" s="237" t="s">
        <v>1025</v>
      </c>
      <c r="C50" s="148" t="s">
        <v>63</v>
      </c>
      <c r="D50" s="280" t="s">
        <v>64</v>
      </c>
      <c r="E50" s="280" t="s">
        <v>65</v>
      </c>
      <c r="F50" s="281"/>
      <c r="G50" s="631"/>
      <c r="H50" s="12"/>
      <c r="I50" s="11"/>
      <c r="J50" s="92"/>
      <c r="K50" s="92"/>
      <c r="L50" s="92"/>
      <c r="M50" s="92"/>
      <c r="N50" s="92"/>
      <c r="O50" s="2">
        <v>400</v>
      </c>
      <c r="P50" s="283" t="s">
        <v>45</v>
      </c>
      <c r="Q50" s="248">
        <f t="shared" si="7"/>
        <v>45717</v>
      </c>
    </row>
    <row r="51" spans="1:17">
      <c r="A51" s="237" t="s">
        <v>71</v>
      </c>
      <c r="B51" s="237" t="str">
        <f>B49</f>
        <v>P235TR1</v>
      </c>
      <c r="C51" s="148" t="s">
        <v>1022</v>
      </c>
      <c r="D51" s="280" t="s">
        <v>85</v>
      </c>
      <c r="E51" s="280"/>
      <c r="F51" s="281">
        <v>1.06</v>
      </c>
      <c r="G51" s="631">
        <v>105.60000000000001</v>
      </c>
      <c r="H51" s="12"/>
      <c r="I51" s="11">
        <v>0.5</v>
      </c>
      <c r="J51" s="92">
        <f>208.68+3*179.82</f>
        <v>748.1400000000001</v>
      </c>
      <c r="K51" s="92">
        <f>125.22+2*179.82</f>
        <v>484.86</v>
      </c>
      <c r="L51" s="92"/>
      <c r="M51" s="92">
        <v>1</v>
      </c>
      <c r="N51" s="92">
        <v>49.87</v>
      </c>
      <c r="O51" s="3">
        <f t="shared" si="8"/>
        <v>500.96218199999998</v>
      </c>
      <c r="P51" s="283" t="s">
        <v>45</v>
      </c>
      <c r="Q51" s="248">
        <f t="shared" si="7"/>
        <v>45717</v>
      </c>
    </row>
    <row r="52" spans="1:17">
      <c r="A52" s="237" t="s">
        <v>71</v>
      </c>
      <c r="B52" s="237" t="str">
        <f t="shared" si="6"/>
        <v>P235TR1</v>
      </c>
      <c r="C52" s="148" t="s">
        <v>72</v>
      </c>
      <c r="D52" s="280" t="s">
        <v>73</v>
      </c>
      <c r="E52" s="280"/>
      <c r="F52" s="284">
        <v>1.06</v>
      </c>
      <c r="G52" s="638">
        <f>245*1.2</f>
        <v>294</v>
      </c>
      <c r="I52" s="11">
        <v>0.5</v>
      </c>
      <c r="J52" s="11">
        <f>(476.06+3*90)*1.1</f>
        <v>820.66600000000005</v>
      </c>
      <c r="K52" s="11">
        <f>(367.2+2*90)*1.1</f>
        <v>601.92000000000007</v>
      </c>
      <c r="L52" s="11"/>
      <c r="M52" s="92">
        <v>1</v>
      </c>
      <c r="N52" s="11">
        <v>72</v>
      </c>
      <c r="O52" s="3">
        <f t="shared" si="8"/>
        <v>787.89458737500013</v>
      </c>
      <c r="P52" s="283" t="s">
        <v>45</v>
      </c>
      <c r="Q52" s="248">
        <f t="shared" si="7"/>
        <v>45717</v>
      </c>
    </row>
    <row r="53" spans="1:17">
      <c r="A53" s="40"/>
      <c r="B53" s="40"/>
    </row>
    <row r="54" spans="1:17">
      <c r="A54" s="40"/>
      <c r="B54" s="40"/>
    </row>
    <row r="55" spans="1:17" ht="15.75" thickBot="1">
      <c r="A55" s="40"/>
      <c r="B55" s="40"/>
      <c r="D55" s="28" t="s">
        <v>1023</v>
      </c>
      <c r="E55" s="276">
        <v>45736</v>
      </c>
      <c r="F55" s="28"/>
      <c r="G55" s="28" t="s">
        <v>1024</v>
      </c>
      <c r="J55" s="138"/>
      <c r="K55" s="138"/>
      <c r="L55" s="138"/>
      <c r="M55" s="138"/>
      <c r="N55" t="s">
        <v>1026</v>
      </c>
      <c r="O55" s="632"/>
    </row>
    <row r="56" spans="1:17">
      <c r="A56" s="40"/>
      <c r="B56" s="40"/>
      <c r="D56" s="240"/>
      <c r="E56" s="241"/>
      <c r="F56" s="241"/>
      <c r="G56" s="241"/>
      <c r="H56" s="241"/>
      <c r="I56" s="241"/>
      <c r="J56" s="264"/>
      <c r="K56" s="264"/>
      <c r="L56" s="264"/>
      <c r="M56" s="264"/>
      <c r="N56" s="264"/>
      <c r="O56" s="633"/>
    </row>
    <row r="57" spans="1:17">
      <c r="A57" s="40"/>
      <c r="B57" s="40"/>
      <c r="D57" s="277"/>
      <c r="J57" s="138"/>
      <c r="K57" s="138"/>
      <c r="L57" s="138"/>
      <c r="M57" s="138"/>
      <c r="N57" s="138"/>
      <c r="O57" s="634"/>
    </row>
    <row r="58" spans="1:17">
      <c r="A58" s="40"/>
      <c r="B58" s="40"/>
      <c r="D58" s="273"/>
      <c r="J58" s="138"/>
      <c r="K58" s="138"/>
      <c r="L58" s="138"/>
      <c r="M58" s="138"/>
      <c r="N58" s="278"/>
      <c r="O58" s="634"/>
    </row>
    <row r="59" spans="1:17">
      <c r="A59" s="237"/>
      <c r="B59" s="237"/>
      <c r="C59" s="148" t="s">
        <v>1014</v>
      </c>
      <c r="D59" s="148" t="s">
        <v>951</v>
      </c>
      <c r="E59" s="148" t="s">
        <v>1015</v>
      </c>
      <c r="F59" t="s">
        <v>611</v>
      </c>
      <c r="G59" t="s">
        <v>919</v>
      </c>
      <c r="H59" t="s">
        <v>613</v>
      </c>
      <c r="I59" t="s">
        <v>611</v>
      </c>
      <c r="J59" s="138" t="s">
        <v>614</v>
      </c>
      <c r="K59" s="138" t="s">
        <v>615</v>
      </c>
      <c r="L59" s="138" t="s">
        <v>613</v>
      </c>
      <c r="M59" s="138" t="s">
        <v>611</v>
      </c>
      <c r="N59" s="138" t="s">
        <v>616</v>
      </c>
      <c r="O59" s="634" t="s">
        <v>617</v>
      </c>
    </row>
    <row r="60" spans="1:17">
      <c r="A60" s="237" t="s">
        <v>71</v>
      </c>
      <c r="B60" s="237" t="s">
        <v>1026</v>
      </c>
      <c r="C60" s="148" t="s">
        <v>47</v>
      </c>
      <c r="D60" s="280" t="s">
        <v>48</v>
      </c>
      <c r="E60" s="280" t="s">
        <v>22</v>
      </c>
      <c r="F60" s="11">
        <v>1.08</v>
      </c>
      <c r="G60" s="631">
        <v>20.900000000000002</v>
      </c>
      <c r="H60" s="12"/>
      <c r="I60" s="11">
        <v>0.8</v>
      </c>
      <c r="J60" s="92"/>
      <c r="K60" s="92"/>
      <c r="L60" s="92"/>
      <c r="M60" s="92"/>
      <c r="N60" s="92"/>
      <c r="O60" s="1"/>
      <c r="P60" s="228" t="str">
        <f>P41</f>
        <v>Tasta</v>
      </c>
      <c r="Q60" s="248">
        <f>Q41</f>
        <v>45717</v>
      </c>
    </row>
    <row r="61" spans="1:17">
      <c r="A61" s="237" t="s">
        <v>71</v>
      </c>
      <c r="B61" s="237" t="s">
        <v>1026</v>
      </c>
      <c r="C61" s="148" t="s">
        <v>49</v>
      </c>
      <c r="D61" s="280" t="s">
        <v>50</v>
      </c>
      <c r="E61" s="280" t="s">
        <v>24</v>
      </c>
      <c r="F61" s="11">
        <v>1.08</v>
      </c>
      <c r="G61" s="631">
        <v>26.400000000000002</v>
      </c>
      <c r="H61" s="12"/>
      <c r="I61" s="11">
        <v>0.8</v>
      </c>
      <c r="J61" s="92"/>
      <c r="K61" s="92"/>
      <c r="L61" s="92"/>
      <c r="M61" s="92"/>
      <c r="N61" s="92"/>
      <c r="O61" s="1"/>
      <c r="P61" s="228" t="str">
        <f t="shared" ref="P61:Q70" si="9">P42</f>
        <v>Tasta</v>
      </c>
      <c r="Q61" s="248">
        <f t="shared" si="9"/>
        <v>45717</v>
      </c>
    </row>
    <row r="62" spans="1:17">
      <c r="A62" s="237" t="s">
        <v>71</v>
      </c>
      <c r="B62" s="237" t="s">
        <v>1026</v>
      </c>
      <c r="C62" s="148" t="s">
        <v>51</v>
      </c>
      <c r="D62" s="280" t="s">
        <v>52</v>
      </c>
      <c r="E62" s="280" t="s">
        <v>26</v>
      </c>
      <c r="F62" s="11">
        <v>1.08</v>
      </c>
      <c r="G62" s="631">
        <v>34.1</v>
      </c>
      <c r="H62" s="12"/>
      <c r="I62" s="11">
        <v>0.8</v>
      </c>
      <c r="J62" s="92">
        <f>18+3*13.02</f>
        <v>57.06</v>
      </c>
      <c r="K62" s="92">
        <f>12.72+2*13.02</f>
        <v>38.76</v>
      </c>
      <c r="L62" s="92"/>
      <c r="M62" s="92">
        <v>1</v>
      </c>
      <c r="N62" s="92">
        <v>7.2881249999999991</v>
      </c>
      <c r="O62" s="1">
        <f>((F62*(G62-G62*H62)+I62*((J62+K62)-(J62+K62)*L62)/2+M62*N62)*1.015)*1.05</f>
        <v>87.864826218749997</v>
      </c>
      <c r="P62" s="228" t="str">
        <f t="shared" si="9"/>
        <v>Tasta</v>
      </c>
      <c r="Q62" s="248">
        <f t="shared" si="9"/>
        <v>45717</v>
      </c>
    </row>
    <row r="63" spans="1:17">
      <c r="A63" s="237" t="s">
        <v>71</v>
      </c>
      <c r="B63" s="237" t="s">
        <v>1026</v>
      </c>
      <c r="C63" s="148" t="s">
        <v>53</v>
      </c>
      <c r="D63" s="280" t="s">
        <v>54</v>
      </c>
      <c r="E63" s="280" t="s">
        <v>28</v>
      </c>
      <c r="F63" s="11">
        <v>1.08</v>
      </c>
      <c r="G63" s="631">
        <v>42.900000000000006</v>
      </c>
      <c r="H63" s="12"/>
      <c r="I63" s="11">
        <v>0.8</v>
      </c>
      <c r="J63" s="92">
        <f>20.76+3*13.56</f>
        <v>61.44</v>
      </c>
      <c r="K63" s="92">
        <f>13.02+2*13.56</f>
        <v>40.14</v>
      </c>
      <c r="L63" s="92"/>
      <c r="M63" s="92">
        <v>1</v>
      </c>
      <c r="N63" s="92">
        <v>9.0148499999999991</v>
      </c>
      <c r="O63" s="1">
        <f t="shared" ref="O63:O70" si="10">((F63*(G63-G63*H63)+I63*((J63+K63)-(J63+K63)*L63)/2+M63*N63)*1.015)*1.05</f>
        <v>102.2894593875</v>
      </c>
      <c r="P63" s="228" t="str">
        <f t="shared" si="9"/>
        <v>Tasta</v>
      </c>
      <c r="Q63" s="248">
        <f t="shared" si="9"/>
        <v>45717</v>
      </c>
    </row>
    <row r="64" spans="1:17">
      <c r="A64" s="237" t="s">
        <v>71</v>
      </c>
      <c r="B64" s="237" t="s">
        <v>1026</v>
      </c>
      <c r="C64" s="148" t="s">
        <v>55</v>
      </c>
      <c r="D64" s="280" t="s">
        <v>56</v>
      </c>
      <c r="E64" s="280" t="s">
        <v>30</v>
      </c>
      <c r="F64" s="11"/>
      <c r="G64" s="631"/>
      <c r="H64" s="12"/>
      <c r="I64" s="11"/>
      <c r="J64" s="92"/>
      <c r="K64" s="92"/>
      <c r="L64" s="92"/>
      <c r="M64" s="92"/>
      <c r="N64" s="92"/>
      <c r="O64" s="4">
        <v>100</v>
      </c>
      <c r="P64" s="228" t="str">
        <f t="shared" si="9"/>
        <v>Tasta</v>
      </c>
      <c r="Q64" s="248">
        <f t="shared" si="9"/>
        <v>45717</v>
      </c>
    </row>
    <row r="65" spans="1:17">
      <c r="A65" s="237" t="s">
        <v>71</v>
      </c>
      <c r="B65" s="237" t="s">
        <v>1026</v>
      </c>
      <c r="C65" s="148" t="s">
        <v>57</v>
      </c>
      <c r="D65" s="280" t="s">
        <v>1017</v>
      </c>
      <c r="E65" s="280" t="s">
        <v>32</v>
      </c>
      <c r="F65" s="11">
        <v>1.08</v>
      </c>
      <c r="G65" s="631">
        <v>51.7</v>
      </c>
      <c r="H65" s="12"/>
      <c r="I65" s="11">
        <v>0.6</v>
      </c>
      <c r="J65" s="92">
        <f>27.84+3*16.44</f>
        <v>77.160000000000011</v>
      </c>
      <c r="K65" s="92">
        <f>16.08+2*16.44</f>
        <v>48.96</v>
      </c>
      <c r="L65" s="92"/>
      <c r="M65" s="92">
        <v>1</v>
      </c>
      <c r="N65" s="92">
        <v>14.912625000000002</v>
      </c>
      <c r="O65" s="1">
        <f t="shared" si="10"/>
        <v>115.72406409375</v>
      </c>
      <c r="P65" s="228" t="str">
        <f t="shared" si="9"/>
        <v>Tasta</v>
      </c>
      <c r="Q65" s="248">
        <f t="shared" si="9"/>
        <v>45717</v>
      </c>
    </row>
    <row r="66" spans="1:17">
      <c r="A66" s="237" t="s">
        <v>71</v>
      </c>
      <c r="B66" s="237" t="s">
        <v>1026</v>
      </c>
      <c r="C66" s="148" t="s">
        <v>59</v>
      </c>
      <c r="D66" s="280" t="s">
        <v>1018</v>
      </c>
      <c r="E66" s="280" t="s">
        <v>34</v>
      </c>
      <c r="F66" s="11">
        <v>1.08</v>
      </c>
      <c r="G66" s="631">
        <v>63.800000000000004</v>
      </c>
      <c r="H66" s="12"/>
      <c r="I66" s="11">
        <v>0.6</v>
      </c>
      <c r="J66" s="92">
        <f>38.28+3*92.4</f>
        <v>315.48</v>
      </c>
      <c r="K66" s="92">
        <f>22.02+2*92.4</f>
        <v>206.82000000000002</v>
      </c>
      <c r="L66" s="92"/>
      <c r="M66" s="92">
        <v>1</v>
      </c>
      <c r="N66" s="92">
        <v>17.312100000000001</v>
      </c>
      <c r="O66" s="1">
        <f t="shared" si="10"/>
        <v>258.87717607500002</v>
      </c>
      <c r="P66" s="228" t="str">
        <f t="shared" si="9"/>
        <v>Tasta</v>
      </c>
      <c r="Q66" s="248">
        <f t="shared" si="9"/>
        <v>45717</v>
      </c>
    </row>
    <row r="67" spans="1:17">
      <c r="A67" s="237" t="s">
        <v>71</v>
      </c>
      <c r="B67" s="237" t="s">
        <v>1026</v>
      </c>
      <c r="C67" s="148" t="s">
        <v>60</v>
      </c>
      <c r="D67" s="280" t="s">
        <v>61</v>
      </c>
      <c r="E67" s="280" t="s">
        <v>36</v>
      </c>
      <c r="F67" s="11">
        <v>1.06</v>
      </c>
      <c r="G67" s="631">
        <v>75.900000000000006</v>
      </c>
      <c r="H67" s="12"/>
      <c r="I67" s="11">
        <v>0.6</v>
      </c>
      <c r="J67" s="92">
        <f>53.7+3*99</f>
        <v>350.7</v>
      </c>
      <c r="K67" s="92">
        <f>30.66+2*99</f>
        <v>228.66</v>
      </c>
      <c r="L67" s="92"/>
      <c r="M67" s="92">
        <v>1</v>
      </c>
      <c r="N67" s="92">
        <v>20.317050000000002</v>
      </c>
      <c r="O67" s="1">
        <f t="shared" si="10"/>
        <v>292.63262253750003</v>
      </c>
      <c r="P67" s="228" t="str">
        <f t="shared" si="9"/>
        <v>Tasta</v>
      </c>
      <c r="Q67" s="248">
        <f t="shared" si="9"/>
        <v>45717</v>
      </c>
    </row>
    <row r="68" spans="1:17">
      <c r="A68" s="237" t="s">
        <v>71</v>
      </c>
      <c r="B68" s="237" t="s">
        <v>1026</v>
      </c>
      <c r="C68" s="148" t="s">
        <v>62</v>
      </c>
      <c r="D68" s="280" t="s">
        <v>926</v>
      </c>
      <c r="E68" s="280" t="s">
        <v>38</v>
      </c>
      <c r="F68" s="11">
        <v>1.06</v>
      </c>
      <c r="G68" s="631">
        <v>108.9</v>
      </c>
      <c r="H68" s="12"/>
      <c r="I68" s="11">
        <v>0.5</v>
      </c>
      <c r="J68" s="92">
        <f>85.8+3*139.62</f>
        <v>504.66</v>
      </c>
      <c r="K68" s="92">
        <f>45+2*139.62</f>
        <v>324.24</v>
      </c>
      <c r="L68" s="92"/>
      <c r="M68" s="92">
        <v>1</v>
      </c>
      <c r="N68" s="92">
        <v>26.797874999999998</v>
      </c>
      <c r="O68" s="1">
        <f t="shared" si="10"/>
        <v>372.43366453125003</v>
      </c>
      <c r="P68" s="228" t="str">
        <f t="shared" si="9"/>
        <v>Tasta</v>
      </c>
      <c r="Q68" s="248">
        <f t="shared" si="9"/>
        <v>45717</v>
      </c>
    </row>
    <row r="69" spans="1:17">
      <c r="A69" s="237" t="s">
        <v>71</v>
      </c>
      <c r="B69" s="237" t="s">
        <v>1026</v>
      </c>
      <c r="C69" s="148" t="s">
        <v>63</v>
      </c>
      <c r="D69" s="280" t="s">
        <v>64</v>
      </c>
      <c r="E69" s="280" t="s">
        <v>65</v>
      </c>
      <c r="F69" s="11"/>
      <c r="G69" s="631"/>
      <c r="H69" s="12"/>
      <c r="I69" s="11"/>
      <c r="J69" s="92"/>
      <c r="K69" s="92"/>
      <c r="L69" s="92"/>
      <c r="M69" s="92"/>
      <c r="N69" s="92"/>
      <c r="O69" s="4">
        <v>550</v>
      </c>
      <c r="P69" s="228" t="str">
        <f t="shared" si="9"/>
        <v>Tasta</v>
      </c>
      <c r="Q69" s="248">
        <f t="shared" si="9"/>
        <v>45717</v>
      </c>
    </row>
    <row r="70" spans="1:17">
      <c r="A70" s="237" t="s">
        <v>71</v>
      </c>
      <c r="B70" s="237" t="s">
        <v>1026</v>
      </c>
      <c r="C70" s="148" t="s">
        <v>1022</v>
      </c>
      <c r="D70" s="280" t="s">
        <v>85</v>
      </c>
      <c r="E70" s="280">
        <v>6</v>
      </c>
      <c r="F70" s="11">
        <v>1.06</v>
      </c>
      <c r="G70" s="631">
        <v>206.8</v>
      </c>
      <c r="H70" s="12"/>
      <c r="I70" s="11">
        <v>0.5</v>
      </c>
      <c r="J70" s="92">
        <f>208.68+3*179.82</f>
        <v>748.1400000000001</v>
      </c>
      <c r="K70" s="92">
        <f>125.22+2*179.82</f>
        <v>484.86</v>
      </c>
      <c r="L70" s="92"/>
      <c r="M70" s="92">
        <v>1</v>
      </c>
      <c r="N70" s="92">
        <v>49.87</v>
      </c>
      <c r="O70" s="1">
        <f t="shared" si="10"/>
        <v>615.28731600000003</v>
      </c>
      <c r="P70" s="228" t="str">
        <f t="shared" si="9"/>
        <v>Tasta</v>
      </c>
      <c r="Q70" s="248">
        <f t="shared" si="9"/>
        <v>45717</v>
      </c>
    </row>
    <row r="71" spans="1:17">
      <c r="A71" s="40"/>
      <c r="B71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147-C433-4C00-BF32-6E08B1CBD128}">
  <dimension ref="A1:R380"/>
  <sheetViews>
    <sheetView zoomScale="85" zoomScaleNormal="85" workbookViewId="0">
      <pane ySplit="1" topLeftCell="A248" activePane="bottomLeft" state="frozen"/>
      <selection pane="bottomLeft" activeCell="H163" sqref="H163"/>
    </sheetView>
  </sheetViews>
  <sheetFormatPr defaultRowHeight="15"/>
  <cols>
    <col min="1" max="1" width="9.140625" style="333"/>
    <col min="2" max="2" width="20.42578125" style="334" customWidth="1"/>
    <col min="3" max="3" width="11.42578125" style="334" customWidth="1"/>
    <col min="4" max="4" width="10.28515625" style="334" customWidth="1"/>
    <col min="5" max="5" width="8.7109375" style="334" customWidth="1"/>
    <col min="6" max="6" width="15.140625" style="564" customWidth="1"/>
    <col min="7" max="7" width="15.140625" style="334" customWidth="1"/>
    <col min="8" max="9" width="21.140625" style="334" customWidth="1"/>
    <col min="10" max="10" width="16" style="334" customWidth="1"/>
    <col min="11" max="11" width="11.140625" style="334" customWidth="1"/>
    <col min="12" max="12" width="9.140625" style="334"/>
    <col min="13" max="13" width="11" style="334" customWidth="1"/>
    <col min="14" max="14" width="9.140625" style="334"/>
    <col min="258" max="258" width="20.42578125" customWidth="1"/>
    <col min="259" max="259" width="11.42578125" customWidth="1"/>
    <col min="260" max="260" width="10.28515625" customWidth="1"/>
    <col min="261" max="261" width="8.7109375" customWidth="1"/>
    <col min="262" max="263" width="15.140625" customWidth="1"/>
    <col min="264" max="265" width="21.140625" customWidth="1"/>
    <col min="266" max="266" width="16" customWidth="1"/>
    <col min="267" max="267" width="11.140625" customWidth="1"/>
    <col min="269" max="269" width="11" customWidth="1"/>
    <col min="514" max="514" width="20.42578125" customWidth="1"/>
    <col min="515" max="515" width="11.42578125" customWidth="1"/>
    <col min="516" max="516" width="10.28515625" customWidth="1"/>
    <col min="517" max="517" width="8.7109375" customWidth="1"/>
    <col min="518" max="519" width="15.140625" customWidth="1"/>
    <col min="520" max="521" width="21.140625" customWidth="1"/>
    <col min="522" max="522" width="16" customWidth="1"/>
    <col min="523" max="523" width="11.140625" customWidth="1"/>
    <col min="525" max="525" width="11" customWidth="1"/>
    <col min="770" max="770" width="20.42578125" customWidth="1"/>
    <col min="771" max="771" width="11.42578125" customWidth="1"/>
    <col min="772" max="772" width="10.28515625" customWidth="1"/>
    <col min="773" max="773" width="8.7109375" customWidth="1"/>
    <col min="774" max="775" width="15.140625" customWidth="1"/>
    <col min="776" max="777" width="21.140625" customWidth="1"/>
    <col min="778" max="778" width="16" customWidth="1"/>
    <col min="779" max="779" width="11.140625" customWidth="1"/>
    <col min="781" max="781" width="11" customWidth="1"/>
    <col min="1026" max="1026" width="20.42578125" customWidth="1"/>
    <col min="1027" max="1027" width="11.42578125" customWidth="1"/>
    <col min="1028" max="1028" width="10.28515625" customWidth="1"/>
    <col min="1029" max="1029" width="8.7109375" customWidth="1"/>
    <col min="1030" max="1031" width="15.140625" customWidth="1"/>
    <col min="1032" max="1033" width="21.140625" customWidth="1"/>
    <col min="1034" max="1034" width="16" customWidth="1"/>
    <col min="1035" max="1035" width="11.140625" customWidth="1"/>
    <col min="1037" max="1037" width="11" customWidth="1"/>
    <col min="1282" max="1282" width="20.42578125" customWidth="1"/>
    <col min="1283" max="1283" width="11.42578125" customWidth="1"/>
    <col min="1284" max="1284" width="10.28515625" customWidth="1"/>
    <col min="1285" max="1285" width="8.7109375" customWidth="1"/>
    <col min="1286" max="1287" width="15.140625" customWidth="1"/>
    <col min="1288" max="1289" width="21.140625" customWidth="1"/>
    <col min="1290" max="1290" width="16" customWidth="1"/>
    <col min="1291" max="1291" width="11.140625" customWidth="1"/>
    <col min="1293" max="1293" width="11" customWidth="1"/>
    <col min="1538" max="1538" width="20.42578125" customWidth="1"/>
    <col min="1539" max="1539" width="11.42578125" customWidth="1"/>
    <col min="1540" max="1540" width="10.28515625" customWidth="1"/>
    <col min="1541" max="1541" width="8.7109375" customWidth="1"/>
    <col min="1542" max="1543" width="15.140625" customWidth="1"/>
    <col min="1544" max="1545" width="21.140625" customWidth="1"/>
    <col min="1546" max="1546" width="16" customWidth="1"/>
    <col min="1547" max="1547" width="11.140625" customWidth="1"/>
    <col min="1549" max="1549" width="11" customWidth="1"/>
    <col min="1794" max="1794" width="20.42578125" customWidth="1"/>
    <col min="1795" max="1795" width="11.42578125" customWidth="1"/>
    <col min="1796" max="1796" width="10.28515625" customWidth="1"/>
    <col min="1797" max="1797" width="8.7109375" customWidth="1"/>
    <col min="1798" max="1799" width="15.140625" customWidth="1"/>
    <col min="1800" max="1801" width="21.140625" customWidth="1"/>
    <col min="1802" max="1802" width="16" customWidth="1"/>
    <col min="1803" max="1803" width="11.140625" customWidth="1"/>
    <col min="1805" max="1805" width="11" customWidth="1"/>
    <col min="2050" max="2050" width="20.42578125" customWidth="1"/>
    <col min="2051" max="2051" width="11.42578125" customWidth="1"/>
    <col min="2052" max="2052" width="10.28515625" customWidth="1"/>
    <col min="2053" max="2053" width="8.7109375" customWidth="1"/>
    <col min="2054" max="2055" width="15.140625" customWidth="1"/>
    <col min="2056" max="2057" width="21.140625" customWidth="1"/>
    <col min="2058" max="2058" width="16" customWidth="1"/>
    <col min="2059" max="2059" width="11.140625" customWidth="1"/>
    <col min="2061" max="2061" width="11" customWidth="1"/>
    <col min="2306" max="2306" width="20.42578125" customWidth="1"/>
    <col min="2307" max="2307" width="11.42578125" customWidth="1"/>
    <col min="2308" max="2308" width="10.28515625" customWidth="1"/>
    <col min="2309" max="2309" width="8.7109375" customWidth="1"/>
    <col min="2310" max="2311" width="15.140625" customWidth="1"/>
    <col min="2312" max="2313" width="21.140625" customWidth="1"/>
    <col min="2314" max="2314" width="16" customWidth="1"/>
    <col min="2315" max="2315" width="11.140625" customWidth="1"/>
    <col min="2317" max="2317" width="11" customWidth="1"/>
    <col min="2562" max="2562" width="20.42578125" customWidth="1"/>
    <col min="2563" max="2563" width="11.42578125" customWidth="1"/>
    <col min="2564" max="2564" width="10.28515625" customWidth="1"/>
    <col min="2565" max="2565" width="8.7109375" customWidth="1"/>
    <col min="2566" max="2567" width="15.140625" customWidth="1"/>
    <col min="2568" max="2569" width="21.140625" customWidth="1"/>
    <col min="2570" max="2570" width="16" customWidth="1"/>
    <col min="2571" max="2571" width="11.140625" customWidth="1"/>
    <col min="2573" max="2573" width="11" customWidth="1"/>
    <col min="2818" max="2818" width="20.42578125" customWidth="1"/>
    <col min="2819" max="2819" width="11.42578125" customWidth="1"/>
    <col min="2820" max="2820" width="10.28515625" customWidth="1"/>
    <col min="2821" max="2821" width="8.7109375" customWidth="1"/>
    <col min="2822" max="2823" width="15.140625" customWidth="1"/>
    <col min="2824" max="2825" width="21.140625" customWidth="1"/>
    <col min="2826" max="2826" width="16" customWidth="1"/>
    <col min="2827" max="2827" width="11.140625" customWidth="1"/>
    <col min="2829" max="2829" width="11" customWidth="1"/>
    <col min="3074" max="3074" width="20.42578125" customWidth="1"/>
    <col min="3075" max="3075" width="11.42578125" customWidth="1"/>
    <col min="3076" max="3076" width="10.28515625" customWidth="1"/>
    <col min="3077" max="3077" width="8.7109375" customWidth="1"/>
    <col min="3078" max="3079" width="15.140625" customWidth="1"/>
    <col min="3080" max="3081" width="21.140625" customWidth="1"/>
    <col min="3082" max="3082" width="16" customWidth="1"/>
    <col min="3083" max="3083" width="11.140625" customWidth="1"/>
    <col min="3085" max="3085" width="11" customWidth="1"/>
    <col min="3330" max="3330" width="20.42578125" customWidth="1"/>
    <col min="3331" max="3331" width="11.42578125" customWidth="1"/>
    <col min="3332" max="3332" width="10.28515625" customWidth="1"/>
    <col min="3333" max="3333" width="8.7109375" customWidth="1"/>
    <col min="3334" max="3335" width="15.140625" customWidth="1"/>
    <col min="3336" max="3337" width="21.140625" customWidth="1"/>
    <col min="3338" max="3338" width="16" customWidth="1"/>
    <col min="3339" max="3339" width="11.140625" customWidth="1"/>
    <col min="3341" max="3341" width="11" customWidth="1"/>
    <col min="3586" max="3586" width="20.42578125" customWidth="1"/>
    <col min="3587" max="3587" width="11.42578125" customWidth="1"/>
    <col min="3588" max="3588" width="10.28515625" customWidth="1"/>
    <col min="3589" max="3589" width="8.7109375" customWidth="1"/>
    <col min="3590" max="3591" width="15.140625" customWidth="1"/>
    <col min="3592" max="3593" width="21.140625" customWidth="1"/>
    <col min="3594" max="3594" width="16" customWidth="1"/>
    <col min="3595" max="3595" width="11.140625" customWidth="1"/>
    <col min="3597" max="3597" width="11" customWidth="1"/>
    <col min="3842" max="3842" width="20.42578125" customWidth="1"/>
    <col min="3843" max="3843" width="11.42578125" customWidth="1"/>
    <col min="3844" max="3844" width="10.28515625" customWidth="1"/>
    <col min="3845" max="3845" width="8.7109375" customWidth="1"/>
    <col min="3846" max="3847" width="15.140625" customWidth="1"/>
    <col min="3848" max="3849" width="21.140625" customWidth="1"/>
    <col min="3850" max="3850" width="16" customWidth="1"/>
    <col min="3851" max="3851" width="11.140625" customWidth="1"/>
    <col min="3853" max="3853" width="11" customWidth="1"/>
    <col min="4098" max="4098" width="20.42578125" customWidth="1"/>
    <col min="4099" max="4099" width="11.42578125" customWidth="1"/>
    <col min="4100" max="4100" width="10.28515625" customWidth="1"/>
    <col min="4101" max="4101" width="8.7109375" customWidth="1"/>
    <col min="4102" max="4103" width="15.140625" customWidth="1"/>
    <col min="4104" max="4105" width="21.140625" customWidth="1"/>
    <col min="4106" max="4106" width="16" customWidth="1"/>
    <col min="4107" max="4107" width="11.140625" customWidth="1"/>
    <col min="4109" max="4109" width="11" customWidth="1"/>
    <col min="4354" max="4354" width="20.42578125" customWidth="1"/>
    <col min="4355" max="4355" width="11.42578125" customWidth="1"/>
    <col min="4356" max="4356" width="10.28515625" customWidth="1"/>
    <col min="4357" max="4357" width="8.7109375" customWidth="1"/>
    <col min="4358" max="4359" width="15.140625" customWidth="1"/>
    <col min="4360" max="4361" width="21.140625" customWidth="1"/>
    <col min="4362" max="4362" width="16" customWidth="1"/>
    <col min="4363" max="4363" width="11.140625" customWidth="1"/>
    <col min="4365" max="4365" width="11" customWidth="1"/>
    <col min="4610" max="4610" width="20.42578125" customWidth="1"/>
    <col min="4611" max="4611" width="11.42578125" customWidth="1"/>
    <col min="4612" max="4612" width="10.28515625" customWidth="1"/>
    <col min="4613" max="4613" width="8.7109375" customWidth="1"/>
    <col min="4614" max="4615" width="15.140625" customWidth="1"/>
    <col min="4616" max="4617" width="21.140625" customWidth="1"/>
    <col min="4618" max="4618" width="16" customWidth="1"/>
    <col min="4619" max="4619" width="11.140625" customWidth="1"/>
    <col min="4621" max="4621" width="11" customWidth="1"/>
    <col min="4866" max="4866" width="20.42578125" customWidth="1"/>
    <col min="4867" max="4867" width="11.42578125" customWidth="1"/>
    <col min="4868" max="4868" width="10.28515625" customWidth="1"/>
    <col min="4869" max="4869" width="8.7109375" customWidth="1"/>
    <col min="4870" max="4871" width="15.140625" customWidth="1"/>
    <col min="4872" max="4873" width="21.140625" customWidth="1"/>
    <col min="4874" max="4874" width="16" customWidth="1"/>
    <col min="4875" max="4875" width="11.140625" customWidth="1"/>
    <col min="4877" max="4877" width="11" customWidth="1"/>
    <col min="5122" max="5122" width="20.42578125" customWidth="1"/>
    <col min="5123" max="5123" width="11.42578125" customWidth="1"/>
    <col min="5124" max="5124" width="10.28515625" customWidth="1"/>
    <col min="5125" max="5125" width="8.7109375" customWidth="1"/>
    <col min="5126" max="5127" width="15.140625" customWidth="1"/>
    <col min="5128" max="5129" width="21.140625" customWidth="1"/>
    <col min="5130" max="5130" width="16" customWidth="1"/>
    <col min="5131" max="5131" width="11.140625" customWidth="1"/>
    <col min="5133" max="5133" width="11" customWidth="1"/>
    <col min="5378" max="5378" width="20.42578125" customWidth="1"/>
    <col min="5379" max="5379" width="11.42578125" customWidth="1"/>
    <col min="5380" max="5380" width="10.28515625" customWidth="1"/>
    <col min="5381" max="5381" width="8.7109375" customWidth="1"/>
    <col min="5382" max="5383" width="15.140625" customWidth="1"/>
    <col min="5384" max="5385" width="21.140625" customWidth="1"/>
    <col min="5386" max="5386" width="16" customWidth="1"/>
    <col min="5387" max="5387" width="11.140625" customWidth="1"/>
    <col min="5389" max="5389" width="11" customWidth="1"/>
    <col min="5634" max="5634" width="20.42578125" customWidth="1"/>
    <col min="5635" max="5635" width="11.42578125" customWidth="1"/>
    <col min="5636" max="5636" width="10.28515625" customWidth="1"/>
    <col min="5637" max="5637" width="8.7109375" customWidth="1"/>
    <col min="5638" max="5639" width="15.140625" customWidth="1"/>
    <col min="5640" max="5641" width="21.140625" customWidth="1"/>
    <col min="5642" max="5642" width="16" customWidth="1"/>
    <col min="5643" max="5643" width="11.140625" customWidth="1"/>
    <col min="5645" max="5645" width="11" customWidth="1"/>
    <col min="5890" max="5890" width="20.42578125" customWidth="1"/>
    <col min="5891" max="5891" width="11.42578125" customWidth="1"/>
    <col min="5892" max="5892" width="10.28515625" customWidth="1"/>
    <col min="5893" max="5893" width="8.7109375" customWidth="1"/>
    <col min="5894" max="5895" width="15.140625" customWidth="1"/>
    <col min="5896" max="5897" width="21.140625" customWidth="1"/>
    <col min="5898" max="5898" width="16" customWidth="1"/>
    <col min="5899" max="5899" width="11.140625" customWidth="1"/>
    <col min="5901" max="5901" width="11" customWidth="1"/>
    <col min="6146" max="6146" width="20.42578125" customWidth="1"/>
    <col min="6147" max="6147" width="11.42578125" customWidth="1"/>
    <col min="6148" max="6148" width="10.28515625" customWidth="1"/>
    <col min="6149" max="6149" width="8.7109375" customWidth="1"/>
    <col min="6150" max="6151" width="15.140625" customWidth="1"/>
    <col min="6152" max="6153" width="21.140625" customWidth="1"/>
    <col min="6154" max="6154" width="16" customWidth="1"/>
    <col min="6155" max="6155" width="11.140625" customWidth="1"/>
    <col min="6157" max="6157" width="11" customWidth="1"/>
    <col min="6402" max="6402" width="20.42578125" customWidth="1"/>
    <col min="6403" max="6403" width="11.42578125" customWidth="1"/>
    <col min="6404" max="6404" width="10.28515625" customWidth="1"/>
    <col min="6405" max="6405" width="8.7109375" customWidth="1"/>
    <col min="6406" max="6407" width="15.140625" customWidth="1"/>
    <col min="6408" max="6409" width="21.140625" customWidth="1"/>
    <col min="6410" max="6410" width="16" customWidth="1"/>
    <col min="6411" max="6411" width="11.140625" customWidth="1"/>
    <col min="6413" max="6413" width="11" customWidth="1"/>
    <col min="6658" max="6658" width="20.42578125" customWidth="1"/>
    <col min="6659" max="6659" width="11.42578125" customWidth="1"/>
    <col min="6660" max="6660" width="10.28515625" customWidth="1"/>
    <col min="6661" max="6661" width="8.7109375" customWidth="1"/>
    <col min="6662" max="6663" width="15.140625" customWidth="1"/>
    <col min="6664" max="6665" width="21.140625" customWidth="1"/>
    <col min="6666" max="6666" width="16" customWidth="1"/>
    <col min="6667" max="6667" width="11.140625" customWidth="1"/>
    <col min="6669" max="6669" width="11" customWidth="1"/>
    <col min="6914" max="6914" width="20.42578125" customWidth="1"/>
    <col min="6915" max="6915" width="11.42578125" customWidth="1"/>
    <col min="6916" max="6916" width="10.28515625" customWidth="1"/>
    <col min="6917" max="6917" width="8.7109375" customWidth="1"/>
    <col min="6918" max="6919" width="15.140625" customWidth="1"/>
    <col min="6920" max="6921" width="21.140625" customWidth="1"/>
    <col min="6922" max="6922" width="16" customWidth="1"/>
    <col min="6923" max="6923" width="11.140625" customWidth="1"/>
    <col min="6925" max="6925" width="11" customWidth="1"/>
    <col min="7170" max="7170" width="20.42578125" customWidth="1"/>
    <col min="7171" max="7171" width="11.42578125" customWidth="1"/>
    <col min="7172" max="7172" width="10.28515625" customWidth="1"/>
    <col min="7173" max="7173" width="8.7109375" customWidth="1"/>
    <col min="7174" max="7175" width="15.140625" customWidth="1"/>
    <col min="7176" max="7177" width="21.140625" customWidth="1"/>
    <col min="7178" max="7178" width="16" customWidth="1"/>
    <col min="7179" max="7179" width="11.140625" customWidth="1"/>
    <col min="7181" max="7181" width="11" customWidth="1"/>
    <col min="7426" max="7426" width="20.42578125" customWidth="1"/>
    <col min="7427" max="7427" width="11.42578125" customWidth="1"/>
    <col min="7428" max="7428" width="10.28515625" customWidth="1"/>
    <col min="7429" max="7429" width="8.7109375" customWidth="1"/>
    <col min="7430" max="7431" width="15.140625" customWidth="1"/>
    <col min="7432" max="7433" width="21.140625" customWidth="1"/>
    <col min="7434" max="7434" width="16" customWidth="1"/>
    <col min="7435" max="7435" width="11.140625" customWidth="1"/>
    <col min="7437" max="7437" width="11" customWidth="1"/>
    <col min="7682" max="7682" width="20.42578125" customWidth="1"/>
    <col min="7683" max="7683" width="11.42578125" customWidth="1"/>
    <col min="7684" max="7684" width="10.28515625" customWidth="1"/>
    <col min="7685" max="7685" width="8.7109375" customWidth="1"/>
    <col min="7686" max="7687" width="15.140625" customWidth="1"/>
    <col min="7688" max="7689" width="21.140625" customWidth="1"/>
    <col min="7690" max="7690" width="16" customWidth="1"/>
    <col min="7691" max="7691" width="11.140625" customWidth="1"/>
    <col min="7693" max="7693" width="11" customWidth="1"/>
    <col min="7938" max="7938" width="20.42578125" customWidth="1"/>
    <col min="7939" max="7939" width="11.42578125" customWidth="1"/>
    <col min="7940" max="7940" width="10.28515625" customWidth="1"/>
    <col min="7941" max="7941" width="8.7109375" customWidth="1"/>
    <col min="7942" max="7943" width="15.140625" customWidth="1"/>
    <col min="7944" max="7945" width="21.140625" customWidth="1"/>
    <col min="7946" max="7946" width="16" customWidth="1"/>
    <col min="7947" max="7947" width="11.140625" customWidth="1"/>
    <col min="7949" max="7949" width="11" customWidth="1"/>
    <col min="8194" max="8194" width="20.42578125" customWidth="1"/>
    <col min="8195" max="8195" width="11.42578125" customWidth="1"/>
    <col min="8196" max="8196" width="10.28515625" customWidth="1"/>
    <col min="8197" max="8197" width="8.7109375" customWidth="1"/>
    <col min="8198" max="8199" width="15.140625" customWidth="1"/>
    <col min="8200" max="8201" width="21.140625" customWidth="1"/>
    <col min="8202" max="8202" width="16" customWidth="1"/>
    <col min="8203" max="8203" width="11.140625" customWidth="1"/>
    <col min="8205" max="8205" width="11" customWidth="1"/>
    <col min="8450" max="8450" width="20.42578125" customWidth="1"/>
    <col min="8451" max="8451" width="11.42578125" customWidth="1"/>
    <col min="8452" max="8452" width="10.28515625" customWidth="1"/>
    <col min="8453" max="8453" width="8.7109375" customWidth="1"/>
    <col min="8454" max="8455" width="15.140625" customWidth="1"/>
    <col min="8456" max="8457" width="21.140625" customWidth="1"/>
    <col min="8458" max="8458" width="16" customWidth="1"/>
    <col min="8459" max="8459" width="11.140625" customWidth="1"/>
    <col min="8461" max="8461" width="11" customWidth="1"/>
    <col min="8706" max="8706" width="20.42578125" customWidth="1"/>
    <col min="8707" max="8707" width="11.42578125" customWidth="1"/>
    <col min="8708" max="8708" width="10.28515625" customWidth="1"/>
    <col min="8709" max="8709" width="8.7109375" customWidth="1"/>
    <col min="8710" max="8711" width="15.140625" customWidth="1"/>
    <col min="8712" max="8713" width="21.140625" customWidth="1"/>
    <col min="8714" max="8714" width="16" customWidth="1"/>
    <col min="8715" max="8715" width="11.140625" customWidth="1"/>
    <col min="8717" max="8717" width="11" customWidth="1"/>
    <col min="8962" max="8962" width="20.42578125" customWidth="1"/>
    <col min="8963" max="8963" width="11.42578125" customWidth="1"/>
    <col min="8964" max="8964" width="10.28515625" customWidth="1"/>
    <col min="8965" max="8965" width="8.7109375" customWidth="1"/>
    <col min="8966" max="8967" width="15.140625" customWidth="1"/>
    <col min="8968" max="8969" width="21.140625" customWidth="1"/>
    <col min="8970" max="8970" width="16" customWidth="1"/>
    <col min="8971" max="8971" width="11.140625" customWidth="1"/>
    <col min="8973" max="8973" width="11" customWidth="1"/>
    <col min="9218" max="9218" width="20.42578125" customWidth="1"/>
    <col min="9219" max="9219" width="11.42578125" customWidth="1"/>
    <col min="9220" max="9220" width="10.28515625" customWidth="1"/>
    <col min="9221" max="9221" width="8.7109375" customWidth="1"/>
    <col min="9222" max="9223" width="15.140625" customWidth="1"/>
    <col min="9224" max="9225" width="21.140625" customWidth="1"/>
    <col min="9226" max="9226" width="16" customWidth="1"/>
    <col min="9227" max="9227" width="11.140625" customWidth="1"/>
    <col min="9229" max="9229" width="11" customWidth="1"/>
    <col min="9474" max="9474" width="20.42578125" customWidth="1"/>
    <col min="9475" max="9475" width="11.42578125" customWidth="1"/>
    <col min="9476" max="9476" width="10.28515625" customWidth="1"/>
    <col min="9477" max="9477" width="8.7109375" customWidth="1"/>
    <col min="9478" max="9479" width="15.140625" customWidth="1"/>
    <col min="9480" max="9481" width="21.140625" customWidth="1"/>
    <col min="9482" max="9482" width="16" customWidth="1"/>
    <col min="9483" max="9483" width="11.140625" customWidth="1"/>
    <col min="9485" max="9485" width="11" customWidth="1"/>
    <col min="9730" max="9730" width="20.42578125" customWidth="1"/>
    <col min="9731" max="9731" width="11.42578125" customWidth="1"/>
    <col min="9732" max="9732" width="10.28515625" customWidth="1"/>
    <col min="9733" max="9733" width="8.7109375" customWidth="1"/>
    <col min="9734" max="9735" width="15.140625" customWidth="1"/>
    <col min="9736" max="9737" width="21.140625" customWidth="1"/>
    <col min="9738" max="9738" width="16" customWidth="1"/>
    <col min="9739" max="9739" width="11.140625" customWidth="1"/>
    <col min="9741" max="9741" width="11" customWidth="1"/>
    <col min="9986" max="9986" width="20.42578125" customWidth="1"/>
    <col min="9987" max="9987" width="11.42578125" customWidth="1"/>
    <col min="9988" max="9988" width="10.28515625" customWidth="1"/>
    <col min="9989" max="9989" width="8.7109375" customWidth="1"/>
    <col min="9990" max="9991" width="15.140625" customWidth="1"/>
    <col min="9992" max="9993" width="21.140625" customWidth="1"/>
    <col min="9994" max="9994" width="16" customWidth="1"/>
    <col min="9995" max="9995" width="11.140625" customWidth="1"/>
    <col min="9997" max="9997" width="11" customWidth="1"/>
    <col min="10242" max="10242" width="20.42578125" customWidth="1"/>
    <col min="10243" max="10243" width="11.42578125" customWidth="1"/>
    <col min="10244" max="10244" width="10.28515625" customWidth="1"/>
    <col min="10245" max="10245" width="8.7109375" customWidth="1"/>
    <col min="10246" max="10247" width="15.140625" customWidth="1"/>
    <col min="10248" max="10249" width="21.140625" customWidth="1"/>
    <col min="10250" max="10250" width="16" customWidth="1"/>
    <col min="10251" max="10251" width="11.140625" customWidth="1"/>
    <col min="10253" max="10253" width="11" customWidth="1"/>
    <col min="10498" max="10498" width="20.42578125" customWidth="1"/>
    <col min="10499" max="10499" width="11.42578125" customWidth="1"/>
    <col min="10500" max="10500" width="10.28515625" customWidth="1"/>
    <col min="10501" max="10501" width="8.7109375" customWidth="1"/>
    <col min="10502" max="10503" width="15.140625" customWidth="1"/>
    <col min="10504" max="10505" width="21.140625" customWidth="1"/>
    <col min="10506" max="10506" width="16" customWidth="1"/>
    <col min="10507" max="10507" width="11.140625" customWidth="1"/>
    <col min="10509" max="10509" width="11" customWidth="1"/>
    <col min="10754" max="10754" width="20.42578125" customWidth="1"/>
    <col min="10755" max="10755" width="11.42578125" customWidth="1"/>
    <col min="10756" max="10756" width="10.28515625" customWidth="1"/>
    <col min="10757" max="10757" width="8.7109375" customWidth="1"/>
    <col min="10758" max="10759" width="15.140625" customWidth="1"/>
    <col min="10760" max="10761" width="21.140625" customWidth="1"/>
    <col min="10762" max="10762" width="16" customWidth="1"/>
    <col min="10763" max="10763" width="11.140625" customWidth="1"/>
    <col min="10765" max="10765" width="11" customWidth="1"/>
    <col min="11010" max="11010" width="20.42578125" customWidth="1"/>
    <col min="11011" max="11011" width="11.42578125" customWidth="1"/>
    <col min="11012" max="11012" width="10.28515625" customWidth="1"/>
    <col min="11013" max="11013" width="8.7109375" customWidth="1"/>
    <col min="11014" max="11015" width="15.140625" customWidth="1"/>
    <col min="11016" max="11017" width="21.140625" customWidth="1"/>
    <col min="11018" max="11018" width="16" customWidth="1"/>
    <col min="11019" max="11019" width="11.140625" customWidth="1"/>
    <col min="11021" max="11021" width="11" customWidth="1"/>
    <col min="11266" max="11266" width="20.42578125" customWidth="1"/>
    <col min="11267" max="11267" width="11.42578125" customWidth="1"/>
    <col min="11268" max="11268" width="10.28515625" customWidth="1"/>
    <col min="11269" max="11269" width="8.7109375" customWidth="1"/>
    <col min="11270" max="11271" width="15.140625" customWidth="1"/>
    <col min="11272" max="11273" width="21.140625" customWidth="1"/>
    <col min="11274" max="11274" width="16" customWidth="1"/>
    <col min="11275" max="11275" width="11.140625" customWidth="1"/>
    <col min="11277" max="11277" width="11" customWidth="1"/>
    <col min="11522" max="11522" width="20.42578125" customWidth="1"/>
    <col min="11523" max="11523" width="11.42578125" customWidth="1"/>
    <col min="11524" max="11524" width="10.28515625" customWidth="1"/>
    <col min="11525" max="11525" width="8.7109375" customWidth="1"/>
    <col min="11526" max="11527" width="15.140625" customWidth="1"/>
    <col min="11528" max="11529" width="21.140625" customWidth="1"/>
    <col min="11530" max="11530" width="16" customWidth="1"/>
    <col min="11531" max="11531" width="11.140625" customWidth="1"/>
    <col min="11533" max="11533" width="11" customWidth="1"/>
    <col min="11778" max="11778" width="20.42578125" customWidth="1"/>
    <col min="11779" max="11779" width="11.42578125" customWidth="1"/>
    <col min="11780" max="11780" width="10.28515625" customWidth="1"/>
    <col min="11781" max="11781" width="8.7109375" customWidth="1"/>
    <col min="11782" max="11783" width="15.140625" customWidth="1"/>
    <col min="11784" max="11785" width="21.140625" customWidth="1"/>
    <col min="11786" max="11786" width="16" customWidth="1"/>
    <col min="11787" max="11787" width="11.140625" customWidth="1"/>
    <col min="11789" max="11789" width="11" customWidth="1"/>
    <col min="12034" max="12034" width="20.42578125" customWidth="1"/>
    <col min="12035" max="12035" width="11.42578125" customWidth="1"/>
    <col min="12036" max="12036" width="10.28515625" customWidth="1"/>
    <col min="12037" max="12037" width="8.7109375" customWidth="1"/>
    <col min="12038" max="12039" width="15.140625" customWidth="1"/>
    <col min="12040" max="12041" width="21.140625" customWidth="1"/>
    <col min="12042" max="12042" width="16" customWidth="1"/>
    <col min="12043" max="12043" width="11.140625" customWidth="1"/>
    <col min="12045" max="12045" width="11" customWidth="1"/>
    <col min="12290" max="12290" width="20.42578125" customWidth="1"/>
    <col min="12291" max="12291" width="11.42578125" customWidth="1"/>
    <col min="12292" max="12292" width="10.28515625" customWidth="1"/>
    <col min="12293" max="12293" width="8.7109375" customWidth="1"/>
    <col min="12294" max="12295" width="15.140625" customWidth="1"/>
    <col min="12296" max="12297" width="21.140625" customWidth="1"/>
    <col min="12298" max="12298" width="16" customWidth="1"/>
    <col min="12299" max="12299" width="11.140625" customWidth="1"/>
    <col min="12301" max="12301" width="11" customWidth="1"/>
    <col min="12546" max="12546" width="20.42578125" customWidth="1"/>
    <col min="12547" max="12547" width="11.42578125" customWidth="1"/>
    <col min="12548" max="12548" width="10.28515625" customWidth="1"/>
    <col min="12549" max="12549" width="8.7109375" customWidth="1"/>
    <col min="12550" max="12551" width="15.140625" customWidth="1"/>
    <col min="12552" max="12553" width="21.140625" customWidth="1"/>
    <col min="12554" max="12554" width="16" customWidth="1"/>
    <col min="12555" max="12555" width="11.140625" customWidth="1"/>
    <col min="12557" max="12557" width="11" customWidth="1"/>
    <col min="12802" max="12802" width="20.42578125" customWidth="1"/>
    <col min="12803" max="12803" width="11.42578125" customWidth="1"/>
    <col min="12804" max="12804" width="10.28515625" customWidth="1"/>
    <col min="12805" max="12805" width="8.7109375" customWidth="1"/>
    <col min="12806" max="12807" width="15.140625" customWidth="1"/>
    <col min="12808" max="12809" width="21.140625" customWidth="1"/>
    <col min="12810" max="12810" width="16" customWidth="1"/>
    <col min="12811" max="12811" width="11.140625" customWidth="1"/>
    <col min="12813" max="12813" width="11" customWidth="1"/>
    <col min="13058" max="13058" width="20.42578125" customWidth="1"/>
    <col min="13059" max="13059" width="11.42578125" customWidth="1"/>
    <col min="13060" max="13060" width="10.28515625" customWidth="1"/>
    <col min="13061" max="13061" width="8.7109375" customWidth="1"/>
    <col min="13062" max="13063" width="15.140625" customWidth="1"/>
    <col min="13064" max="13065" width="21.140625" customWidth="1"/>
    <col min="13066" max="13066" width="16" customWidth="1"/>
    <col min="13067" max="13067" width="11.140625" customWidth="1"/>
    <col min="13069" max="13069" width="11" customWidth="1"/>
    <col min="13314" max="13314" width="20.42578125" customWidth="1"/>
    <col min="13315" max="13315" width="11.42578125" customWidth="1"/>
    <col min="13316" max="13316" width="10.28515625" customWidth="1"/>
    <col min="13317" max="13317" width="8.7109375" customWidth="1"/>
    <col min="13318" max="13319" width="15.140625" customWidth="1"/>
    <col min="13320" max="13321" width="21.140625" customWidth="1"/>
    <col min="13322" max="13322" width="16" customWidth="1"/>
    <col min="13323" max="13323" width="11.140625" customWidth="1"/>
    <col min="13325" max="13325" width="11" customWidth="1"/>
    <col min="13570" max="13570" width="20.42578125" customWidth="1"/>
    <col min="13571" max="13571" width="11.42578125" customWidth="1"/>
    <col min="13572" max="13572" width="10.28515625" customWidth="1"/>
    <col min="13573" max="13573" width="8.7109375" customWidth="1"/>
    <col min="13574" max="13575" width="15.140625" customWidth="1"/>
    <col min="13576" max="13577" width="21.140625" customWidth="1"/>
    <col min="13578" max="13578" width="16" customWidth="1"/>
    <col min="13579" max="13579" width="11.140625" customWidth="1"/>
    <col min="13581" max="13581" width="11" customWidth="1"/>
    <col min="13826" max="13826" width="20.42578125" customWidth="1"/>
    <col min="13827" max="13827" width="11.42578125" customWidth="1"/>
    <col min="13828" max="13828" width="10.28515625" customWidth="1"/>
    <col min="13829" max="13829" width="8.7109375" customWidth="1"/>
    <col min="13830" max="13831" width="15.140625" customWidth="1"/>
    <col min="13832" max="13833" width="21.140625" customWidth="1"/>
    <col min="13834" max="13834" width="16" customWidth="1"/>
    <col min="13835" max="13835" width="11.140625" customWidth="1"/>
    <col min="13837" max="13837" width="11" customWidth="1"/>
    <col min="14082" max="14082" width="20.42578125" customWidth="1"/>
    <col min="14083" max="14083" width="11.42578125" customWidth="1"/>
    <col min="14084" max="14084" width="10.28515625" customWidth="1"/>
    <col min="14085" max="14085" width="8.7109375" customWidth="1"/>
    <col min="14086" max="14087" width="15.140625" customWidth="1"/>
    <col min="14088" max="14089" width="21.140625" customWidth="1"/>
    <col min="14090" max="14090" width="16" customWidth="1"/>
    <col min="14091" max="14091" width="11.140625" customWidth="1"/>
    <col min="14093" max="14093" width="11" customWidth="1"/>
    <col min="14338" max="14338" width="20.42578125" customWidth="1"/>
    <col min="14339" max="14339" width="11.42578125" customWidth="1"/>
    <col min="14340" max="14340" width="10.28515625" customWidth="1"/>
    <col min="14341" max="14341" width="8.7109375" customWidth="1"/>
    <col min="14342" max="14343" width="15.140625" customWidth="1"/>
    <col min="14344" max="14345" width="21.140625" customWidth="1"/>
    <col min="14346" max="14346" width="16" customWidth="1"/>
    <col min="14347" max="14347" width="11.140625" customWidth="1"/>
    <col min="14349" max="14349" width="11" customWidth="1"/>
    <col min="14594" max="14594" width="20.42578125" customWidth="1"/>
    <col min="14595" max="14595" width="11.42578125" customWidth="1"/>
    <col min="14596" max="14596" width="10.28515625" customWidth="1"/>
    <col min="14597" max="14597" width="8.7109375" customWidth="1"/>
    <col min="14598" max="14599" width="15.140625" customWidth="1"/>
    <col min="14600" max="14601" width="21.140625" customWidth="1"/>
    <col min="14602" max="14602" width="16" customWidth="1"/>
    <col min="14603" max="14603" width="11.140625" customWidth="1"/>
    <col min="14605" max="14605" width="11" customWidth="1"/>
    <col min="14850" max="14850" width="20.42578125" customWidth="1"/>
    <col min="14851" max="14851" width="11.42578125" customWidth="1"/>
    <col min="14852" max="14852" width="10.28515625" customWidth="1"/>
    <col min="14853" max="14853" width="8.7109375" customWidth="1"/>
    <col min="14854" max="14855" width="15.140625" customWidth="1"/>
    <col min="14856" max="14857" width="21.140625" customWidth="1"/>
    <col min="14858" max="14858" width="16" customWidth="1"/>
    <col min="14859" max="14859" width="11.140625" customWidth="1"/>
    <col min="14861" max="14861" width="11" customWidth="1"/>
    <col min="15106" max="15106" width="20.42578125" customWidth="1"/>
    <col min="15107" max="15107" width="11.42578125" customWidth="1"/>
    <col min="15108" max="15108" width="10.28515625" customWidth="1"/>
    <col min="15109" max="15109" width="8.7109375" customWidth="1"/>
    <col min="15110" max="15111" width="15.140625" customWidth="1"/>
    <col min="15112" max="15113" width="21.140625" customWidth="1"/>
    <col min="15114" max="15114" width="16" customWidth="1"/>
    <col min="15115" max="15115" width="11.140625" customWidth="1"/>
    <col min="15117" max="15117" width="11" customWidth="1"/>
    <col min="15362" max="15362" width="20.42578125" customWidth="1"/>
    <col min="15363" max="15363" width="11.42578125" customWidth="1"/>
    <col min="15364" max="15364" width="10.28515625" customWidth="1"/>
    <col min="15365" max="15365" width="8.7109375" customWidth="1"/>
    <col min="15366" max="15367" width="15.140625" customWidth="1"/>
    <col min="15368" max="15369" width="21.140625" customWidth="1"/>
    <col min="15370" max="15370" width="16" customWidth="1"/>
    <col min="15371" max="15371" width="11.140625" customWidth="1"/>
    <col min="15373" max="15373" width="11" customWidth="1"/>
    <col min="15618" max="15618" width="20.42578125" customWidth="1"/>
    <col min="15619" max="15619" width="11.42578125" customWidth="1"/>
    <col min="15620" max="15620" width="10.28515625" customWidth="1"/>
    <col min="15621" max="15621" width="8.7109375" customWidth="1"/>
    <col min="15622" max="15623" width="15.140625" customWidth="1"/>
    <col min="15624" max="15625" width="21.140625" customWidth="1"/>
    <col min="15626" max="15626" width="16" customWidth="1"/>
    <col min="15627" max="15627" width="11.140625" customWidth="1"/>
    <col min="15629" max="15629" width="11" customWidth="1"/>
    <col min="15874" max="15874" width="20.42578125" customWidth="1"/>
    <col min="15875" max="15875" width="11.42578125" customWidth="1"/>
    <col min="15876" max="15876" width="10.28515625" customWidth="1"/>
    <col min="15877" max="15877" width="8.7109375" customWidth="1"/>
    <col min="15878" max="15879" width="15.140625" customWidth="1"/>
    <col min="15880" max="15881" width="21.140625" customWidth="1"/>
    <col min="15882" max="15882" width="16" customWidth="1"/>
    <col min="15883" max="15883" width="11.140625" customWidth="1"/>
    <col min="15885" max="15885" width="11" customWidth="1"/>
    <col min="16130" max="16130" width="20.42578125" customWidth="1"/>
    <col min="16131" max="16131" width="11.42578125" customWidth="1"/>
    <col min="16132" max="16132" width="10.28515625" customWidth="1"/>
    <col min="16133" max="16133" width="8.7109375" customWidth="1"/>
    <col min="16134" max="16135" width="15.140625" customWidth="1"/>
    <col min="16136" max="16137" width="21.140625" customWidth="1"/>
    <col min="16138" max="16138" width="16" customWidth="1"/>
    <col min="16139" max="16139" width="11.140625" customWidth="1"/>
    <col min="16141" max="16141" width="11" customWidth="1"/>
  </cols>
  <sheetData>
    <row r="1" spans="1:16" s="180" customFormat="1" ht="80.099999999999994" customHeight="1">
      <c r="A1" s="682" t="s">
        <v>0</v>
      </c>
      <c r="B1" s="683" t="s">
        <v>1</v>
      </c>
      <c r="C1" s="683" t="s">
        <v>2</v>
      </c>
      <c r="D1" s="683" t="s">
        <v>3</v>
      </c>
      <c r="E1" s="683" t="s">
        <v>4</v>
      </c>
      <c r="F1" s="683" t="s">
        <v>5</v>
      </c>
      <c r="G1" s="285" t="s">
        <v>1027</v>
      </c>
      <c r="H1" s="285" t="s">
        <v>7</v>
      </c>
      <c r="I1" s="286" t="s">
        <v>8</v>
      </c>
      <c r="J1" s="287" t="s">
        <v>1028</v>
      </c>
      <c r="K1" s="287" t="s">
        <v>920</v>
      </c>
      <c r="L1" s="288" t="s">
        <v>1029</v>
      </c>
      <c r="M1" s="287" t="s">
        <v>1030</v>
      </c>
      <c r="N1" s="287" t="s">
        <v>1031</v>
      </c>
      <c r="O1" s="188"/>
      <c r="P1" s="188"/>
    </row>
    <row r="2" spans="1:16" s="292" customFormat="1" ht="24.95" customHeight="1">
      <c r="A2" s="289" t="s">
        <v>1032</v>
      </c>
      <c r="B2" s="290"/>
      <c r="C2" s="290"/>
      <c r="D2" s="290"/>
      <c r="E2" s="290"/>
      <c r="F2" s="544"/>
      <c r="G2" s="290"/>
      <c r="H2" s="290"/>
      <c r="I2" s="290"/>
      <c r="J2" s="290"/>
      <c r="K2" s="290"/>
      <c r="L2" s="290"/>
      <c r="M2" s="290"/>
      <c r="N2" s="290"/>
      <c r="O2" s="291"/>
      <c r="P2" s="291"/>
    </row>
    <row r="3" spans="1:16" s="292" customFormat="1" ht="24.95" customHeight="1">
      <c r="A3" s="289" t="s">
        <v>1032</v>
      </c>
      <c r="B3" s="293" t="s">
        <v>98</v>
      </c>
      <c r="C3" s="294" t="s">
        <v>47</v>
      </c>
      <c r="D3" s="294" t="s">
        <v>99</v>
      </c>
      <c r="E3" s="294"/>
      <c r="F3" s="545">
        <f>36.2*N3</f>
        <v>25.34</v>
      </c>
      <c r="G3" s="295">
        <f>36.2*0.7+10.79</f>
        <v>36.129999999999995</v>
      </c>
      <c r="H3" s="296" t="s">
        <v>1033</v>
      </c>
      <c r="I3" s="296" t="s">
        <v>1034</v>
      </c>
      <c r="J3" s="297">
        <v>25</v>
      </c>
      <c r="K3" s="298">
        <v>45809</v>
      </c>
      <c r="L3" s="299"/>
      <c r="M3" s="299"/>
      <c r="N3" s="299">
        <v>0.7</v>
      </c>
      <c r="O3" s="300"/>
      <c r="P3" s="300"/>
    </row>
    <row r="4" spans="1:16" s="292" customFormat="1" ht="24.95" customHeight="1">
      <c r="A4" s="289" t="s">
        <v>1032</v>
      </c>
      <c r="B4" s="293" t="s">
        <v>98</v>
      </c>
      <c r="C4" s="294" t="s">
        <v>49</v>
      </c>
      <c r="D4" s="294" t="s">
        <v>104</v>
      </c>
      <c r="E4" s="294"/>
      <c r="F4" s="545">
        <f>54.8*N4</f>
        <v>38.359999999999992</v>
      </c>
      <c r="G4" s="295">
        <f>54.8*0.7+18</f>
        <v>56.359999999999992</v>
      </c>
      <c r="H4" s="296" t="s">
        <v>1033</v>
      </c>
      <c r="I4" s="296" t="s">
        <v>102</v>
      </c>
      <c r="J4" s="297">
        <v>30</v>
      </c>
      <c r="K4" s="298">
        <f>K3</f>
        <v>45809</v>
      </c>
      <c r="L4" s="299"/>
      <c r="M4" s="299"/>
      <c r="N4" s="299">
        <f>N3</f>
        <v>0.7</v>
      </c>
    </row>
    <row r="5" spans="1:16" s="292" customFormat="1" ht="24.95" customHeight="1">
      <c r="A5" s="289" t="s">
        <v>1032</v>
      </c>
      <c r="B5" s="293" t="s">
        <v>98</v>
      </c>
      <c r="C5" s="294" t="s">
        <v>51</v>
      </c>
      <c r="D5" s="294" t="s">
        <v>105</v>
      </c>
      <c r="E5" s="294"/>
      <c r="F5" s="545">
        <f>84.2*N5</f>
        <v>58.94</v>
      </c>
      <c r="G5" s="295">
        <f>84.2*0.7+40.77</f>
        <v>99.710000000000008</v>
      </c>
      <c r="H5" s="296" t="s">
        <v>1033</v>
      </c>
      <c r="I5" s="296" t="s">
        <v>1034</v>
      </c>
      <c r="J5" s="297">
        <v>35</v>
      </c>
      <c r="K5" s="298">
        <f t="shared" ref="K5:K68" si="0">K4</f>
        <v>45809</v>
      </c>
      <c r="L5" s="299"/>
      <c r="M5" s="299"/>
      <c r="N5" s="299">
        <f>N4</f>
        <v>0.7</v>
      </c>
    </row>
    <row r="6" spans="1:16" s="292" customFormat="1" ht="24.95" customHeight="1">
      <c r="A6" s="289" t="s">
        <v>1032</v>
      </c>
      <c r="B6" s="293" t="s">
        <v>98</v>
      </c>
      <c r="C6" s="294" t="s">
        <v>53</v>
      </c>
      <c r="D6" s="294" t="s">
        <v>106</v>
      </c>
      <c r="E6" s="294"/>
      <c r="F6" s="545">
        <f>142*N6</f>
        <v>99.399999999999991</v>
      </c>
      <c r="G6" s="295">
        <f>142*0.7+63.7</f>
        <v>163.1</v>
      </c>
      <c r="H6" s="296" t="s">
        <v>1033</v>
      </c>
      <c r="I6" s="296" t="s">
        <v>1034</v>
      </c>
      <c r="J6" s="297">
        <v>50</v>
      </c>
      <c r="K6" s="298">
        <f t="shared" si="0"/>
        <v>45809</v>
      </c>
      <c r="L6" s="299"/>
      <c r="M6" s="299"/>
      <c r="N6" s="299">
        <f>N5</f>
        <v>0.7</v>
      </c>
    </row>
    <row r="7" spans="1:16" s="292" customFormat="1" ht="24.95" customHeight="1">
      <c r="A7" s="289" t="s">
        <v>1032</v>
      </c>
      <c r="B7" s="293" t="s">
        <v>98</v>
      </c>
      <c r="C7" s="294" t="s">
        <v>55</v>
      </c>
      <c r="D7" s="294" t="s">
        <v>107</v>
      </c>
      <c r="E7" s="294"/>
      <c r="F7" s="545">
        <f>212*N7</f>
        <v>148.39999999999998</v>
      </c>
      <c r="G7" s="295">
        <f>212*0.7+95.72</f>
        <v>244.11999999999998</v>
      </c>
      <c r="H7" s="296" t="s">
        <v>1033</v>
      </c>
      <c r="I7" s="296" t="s">
        <v>1034</v>
      </c>
      <c r="J7" s="297">
        <v>55</v>
      </c>
      <c r="K7" s="298">
        <f t="shared" si="0"/>
        <v>45809</v>
      </c>
      <c r="L7" s="299"/>
      <c r="M7" s="299"/>
      <c r="N7" s="299">
        <f>N6</f>
        <v>0.7</v>
      </c>
    </row>
    <row r="8" spans="1:16" s="292" customFormat="1" ht="24.95" customHeight="1">
      <c r="A8" s="289" t="s">
        <v>1032</v>
      </c>
      <c r="B8" s="293" t="s">
        <v>98</v>
      </c>
      <c r="C8" s="294" t="s">
        <v>57</v>
      </c>
      <c r="D8" s="294" t="s">
        <v>31</v>
      </c>
      <c r="E8" s="294"/>
      <c r="F8" s="545">
        <f>329*N8</f>
        <v>230.29999999999998</v>
      </c>
      <c r="G8" s="295">
        <f>329*0.7+143.57</f>
        <v>373.87</v>
      </c>
      <c r="H8" s="296" t="s">
        <v>1033</v>
      </c>
      <c r="I8" s="296" t="s">
        <v>1034</v>
      </c>
      <c r="J8" s="297">
        <v>75</v>
      </c>
      <c r="K8" s="298">
        <f t="shared" si="0"/>
        <v>45809</v>
      </c>
      <c r="L8" s="299"/>
      <c r="M8" s="299"/>
      <c r="N8" s="299">
        <f>N7</f>
        <v>0.7</v>
      </c>
    </row>
    <row r="9" spans="1:16" s="292" customFormat="1" ht="24.95" customHeight="1">
      <c r="A9" s="301"/>
      <c r="B9" s="302"/>
      <c r="C9" s="302"/>
      <c r="D9" s="302"/>
      <c r="E9" s="302"/>
      <c r="F9" s="546"/>
      <c r="G9" s="302"/>
      <c r="H9" s="302"/>
      <c r="I9" s="302"/>
      <c r="J9" s="302"/>
      <c r="K9" s="302"/>
      <c r="L9" s="302"/>
      <c r="M9" s="302"/>
      <c r="N9" s="290"/>
    </row>
    <row r="10" spans="1:16" s="292" customFormat="1" ht="24.95" customHeight="1">
      <c r="A10" s="289" t="s">
        <v>1032</v>
      </c>
      <c r="B10" s="293" t="s">
        <v>98</v>
      </c>
      <c r="C10" s="303" t="s">
        <v>47</v>
      </c>
      <c r="D10" s="303" t="s">
        <v>99</v>
      </c>
      <c r="E10" s="303"/>
      <c r="F10" s="547">
        <f>68.9*N10</f>
        <v>41.34</v>
      </c>
      <c r="G10" s="304">
        <f>68.9*0.6+10.79</f>
        <v>52.13</v>
      </c>
      <c r="H10" s="305" t="s">
        <v>108</v>
      </c>
      <c r="I10" s="306" t="s">
        <v>109</v>
      </c>
      <c r="J10" s="297">
        <v>25</v>
      </c>
      <c r="K10" s="298">
        <f>K8</f>
        <v>45809</v>
      </c>
      <c r="L10" s="299"/>
      <c r="M10" s="299"/>
      <c r="N10" s="299">
        <v>0.6</v>
      </c>
    </row>
    <row r="11" spans="1:16" s="292" customFormat="1" ht="24.95" customHeight="1">
      <c r="A11" s="289" t="s">
        <v>1032</v>
      </c>
      <c r="B11" s="293" t="s">
        <v>98</v>
      </c>
      <c r="C11" s="303" t="s">
        <v>49</v>
      </c>
      <c r="D11" s="303" t="s">
        <v>104</v>
      </c>
      <c r="E11" s="303"/>
      <c r="F11" s="547">
        <f>96.7*N11</f>
        <v>58.019999999999996</v>
      </c>
      <c r="G11" s="304">
        <f>96.7*0.6+18</f>
        <v>76.02</v>
      </c>
      <c r="H11" s="305" t="s">
        <v>108</v>
      </c>
      <c r="I11" s="306" t="s">
        <v>109</v>
      </c>
      <c r="J11" s="297">
        <v>30</v>
      </c>
      <c r="K11" s="298">
        <f t="shared" si="0"/>
        <v>45809</v>
      </c>
      <c r="L11" s="299"/>
      <c r="M11" s="299"/>
      <c r="N11" s="299">
        <f>N10</f>
        <v>0.6</v>
      </c>
    </row>
    <row r="12" spans="1:16" s="292" customFormat="1" ht="24.95" customHeight="1">
      <c r="A12" s="289" t="s">
        <v>1032</v>
      </c>
      <c r="B12" s="293" t="s">
        <v>98</v>
      </c>
      <c r="C12" s="303" t="s">
        <v>51</v>
      </c>
      <c r="D12" s="303" t="s">
        <v>105</v>
      </c>
      <c r="E12" s="303"/>
      <c r="F12" s="547">
        <f>159*N12</f>
        <v>95.399999999999991</v>
      </c>
      <c r="G12" s="304">
        <f>159*0.6+40.77</f>
        <v>136.16999999999999</v>
      </c>
      <c r="H12" s="305" t="s">
        <v>108</v>
      </c>
      <c r="I12" s="306" t="s">
        <v>109</v>
      </c>
      <c r="J12" s="297">
        <v>35</v>
      </c>
      <c r="K12" s="298">
        <f t="shared" si="0"/>
        <v>45809</v>
      </c>
      <c r="L12" s="299"/>
      <c r="M12" s="299"/>
      <c r="N12" s="299">
        <f>N11</f>
        <v>0.6</v>
      </c>
    </row>
    <row r="13" spans="1:16" s="292" customFormat="1" ht="24.95" customHeight="1">
      <c r="A13" s="289" t="s">
        <v>1032</v>
      </c>
      <c r="B13" s="293" t="s">
        <v>98</v>
      </c>
      <c r="C13" s="303" t="s">
        <v>53</v>
      </c>
      <c r="D13" s="303" t="s">
        <v>106</v>
      </c>
      <c r="E13" s="303"/>
      <c r="F13" s="547">
        <f>253*N13</f>
        <v>151.79999999999998</v>
      </c>
      <c r="G13" s="304">
        <f>253*0.6+63.7</f>
        <v>215.5</v>
      </c>
      <c r="H13" s="305" t="s">
        <v>108</v>
      </c>
      <c r="I13" s="306" t="s">
        <v>109</v>
      </c>
      <c r="J13" s="297">
        <v>50</v>
      </c>
      <c r="K13" s="298">
        <f t="shared" si="0"/>
        <v>45809</v>
      </c>
      <c r="L13" s="299"/>
      <c r="M13" s="299"/>
      <c r="N13" s="299">
        <f>N12</f>
        <v>0.6</v>
      </c>
    </row>
    <row r="14" spans="1:16" s="292" customFormat="1" ht="24.95" customHeight="1">
      <c r="A14" s="289" t="s">
        <v>1032</v>
      </c>
      <c r="B14" s="293" t="s">
        <v>98</v>
      </c>
      <c r="C14" s="303" t="s">
        <v>55</v>
      </c>
      <c r="D14" s="303" t="s">
        <v>107</v>
      </c>
      <c r="E14" s="303"/>
      <c r="F14" s="547">
        <f>370*N14</f>
        <v>222</v>
      </c>
      <c r="G14" s="304">
        <f>370*0.6+95.72</f>
        <v>317.72000000000003</v>
      </c>
      <c r="H14" s="305" t="s">
        <v>108</v>
      </c>
      <c r="I14" s="306" t="s">
        <v>109</v>
      </c>
      <c r="J14" s="297">
        <v>55</v>
      </c>
      <c r="K14" s="298">
        <f t="shared" si="0"/>
        <v>45809</v>
      </c>
      <c r="L14" s="299"/>
      <c r="M14" s="299"/>
      <c r="N14" s="299">
        <f>N13</f>
        <v>0.6</v>
      </c>
    </row>
    <row r="15" spans="1:16" s="292" customFormat="1" ht="24.95" customHeight="1">
      <c r="A15" s="289" t="s">
        <v>1032</v>
      </c>
      <c r="B15" s="293" t="s">
        <v>98</v>
      </c>
      <c r="C15" s="303" t="s">
        <v>57</v>
      </c>
      <c r="D15" s="303" t="s">
        <v>31</v>
      </c>
      <c r="E15" s="303"/>
      <c r="F15" s="547">
        <f>551*N15</f>
        <v>330.59999999999997</v>
      </c>
      <c r="G15" s="304">
        <f>551*0.6+143.57</f>
        <v>474.16999999999996</v>
      </c>
      <c r="H15" s="305" t="s">
        <v>108</v>
      </c>
      <c r="I15" s="306" t="s">
        <v>109</v>
      </c>
      <c r="J15" s="297">
        <v>75</v>
      </c>
      <c r="K15" s="298">
        <f t="shared" si="0"/>
        <v>45809</v>
      </c>
      <c r="L15" s="299"/>
      <c r="M15" s="299"/>
      <c r="N15" s="299">
        <f>N14</f>
        <v>0.6</v>
      </c>
    </row>
    <row r="16" spans="1:16" s="292" customFormat="1" ht="24.95" customHeight="1">
      <c r="A16" s="301"/>
      <c r="B16" s="302"/>
      <c r="C16" s="302"/>
      <c r="D16" s="302"/>
      <c r="E16" s="302"/>
      <c r="F16" s="546"/>
      <c r="G16" s="302"/>
      <c r="H16" s="302"/>
      <c r="I16" s="302"/>
      <c r="J16" s="302"/>
      <c r="K16" s="302"/>
      <c r="L16" s="302"/>
      <c r="M16" s="302"/>
      <c r="N16" s="290"/>
    </row>
    <row r="17" spans="1:14" s="292" customFormat="1" ht="24.95" customHeight="1">
      <c r="A17" s="289" t="s">
        <v>1032</v>
      </c>
      <c r="B17" s="293" t="s">
        <v>98</v>
      </c>
      <c r="C17" s="303" t="s">
        <v>47</v>
      </c>
      <c r="D17" s="303" t="s">
        <v>99</v>
      </c>
      <c r="E17" s="303"/>
      <c r="F17" s="545">
        <f>112.44*N17</f>
        <v>67.463999999999999</v>
      </c>
      <c r="G17" s="295">
        <f>112.44*0.6+10.79</f>
        <v>78.253999999999991</v>
      </c>
      <c r="H17" s="306" t="s">
        <v>1035</v>
      </c>
      <c r="I17" s="306" t="s">
        <v>111</v>
      </c>
      <c r="J17" s="297">
        <v>25</v>
      </c>
      <c r="K17" s="298">
        <f>K15</f>
        <v>45809</v>
      </c>
      <c r="L17" s="299"/>
      <c r="M17" s="299"/>
      <c r="N17" s="299">
        <f>0.6</f>
        <v>0.6</v>
      </c>
    </row>
    <row r="18" spans="1:14" s="292" customFormat="1" ht="24.95" customHeight="1">
      <c r="A18" s="289" t="s">
        <v>1032</v>
      </c>
      <c r="B18" s="293" t="s">
        <v>98</v>
      </c>
      <c r="C18" s="303" t="s">
        <v>49</v>
      </c>
      <c r="D18" s="303" t="s">
        <v>104</v>
      </c>
      <c r="E18" s="303"/>
      <c r="F18" s="545">
        <f>126.33*N18</f>
        <v>75.798000000000002</v>
      </c>
      <c r="G18" s="295">
        <f>126.33*0.6+18</f>
        <v>93.798000000000002</v>
      </c>
      <c r="H18" s="306" t="s">
        <v>1035</v>
      </c>
      <c r="I18" s="306" t="s">
        <v>111</v>
      </c>
      <c r="J18" s="297">
        <v>30</v>
      </c>
      <c r="K18" s="298">
        <f t="shared" si="0"/>
        <v>45809</v>
      </c>
      <c r="L18" s="299"/>
      <c r="M18" s="299"/>
      <c r="N18" s="299">
        <f>N17</f>
        <v>0.6</v>
      </c>
    </row>
    <row r="19" spans="1:14" s="292" customFormat="1" ht="24.95" customHeight="1">
      <c r="A19" s="289" t="s">
        <v>1032</v>
      </c>
      <c r="B19" s="293" t="s">
        <v>98</v>
      </c>
      <c r="C19" s="303" t="s">
        <v>51</v>
      </c>
      <c r="D19" s="303" t="s">
        <v>105</v>
      </c>
      <c r="E19" s="303"/>
      <c r="F19" s="545">
        <f>148.75*N19</f>
        <v>89.25</v>
      </c>
      <c r="G19" s="295">
        <f>148.75*0.6+40.77</f>
        <v>130.02000000000001</v>
      </c>
      <c r="H19" s="306" t="s">
        <v>1035</v>
      </c>
      <c r="I19" s="306" t="s">
        <v>111</v>
      </c>
      <c r="J19" s="297">
        <v>35</v>
      </c>
      <c r="K19" s="298">
        <f t="shared" si="0"/>
        <v>45809</v>
      </c>
      <c r="L19" s="299"/>
      <c r="M19" s="299"/>
      <c r="N19" s="299">
        <f>N18</f>
        <v>0.6</v>
      </c>
    </row>
    <row r="20" spans="1:14" s="292" customFormat="1" ht="24.95" customHeight="1">
      <c r="A20" s="289" t="s">
        <v>1032</v>
      </c>
      <c r="B20" s="293" t="s">
        <v>98</v>
      </c>
      <c r="C20" s="303" t="s">
        <v>53</v>
      </c>
      <c r="D20" s="303" t="s">
        <v>106</v>
      </c>
      <c r="E20" s="303"/>
      <c r="F20" s="545">
        <f>218.37*N20</f>
        <v>131.02199999999999</v>
      </c>
      <c r="G20" s="295">
        <f>218.37*0.6+63.7</f>
        <v>194.72199999999998</v>
      </c>
      <c r="H20" s="306" t="s">
        <v>1035</v>
      </c>
      <c r="I20" s="306" t="s">
        <v>111</v>
      </c>
      <c r="J20" s="297">
        <v>50</v>
      </c>
      <c r="K20" s="298">
        <f t="shared" si="0"/>
        <v>45809</v>
      </c>
      <c r="L20" s="299"/>
      <c r="M20" s="299"/>
      <c r="N20" s="299">
        <f>N19</f>
        <v>0.6</v>
      </c>
    </row>
    <row r="21" spans="1:14" s="292" customFormat="1" ht="24.95" customHeight="1">
      <c r="A21" s="289" t="s">
        <v>1032</v>
      </c>
      <c r="B21" s="293" t="s">
        <v>98</v>
      </c>
      <c r="C21" s="303" t="s">
        <v>55</v>
      </c>
      <c r="D21" s="303" t="s">
        <v>107</v>
      </c>
      <c r="E21" s="303"/>
      <c r="F21" s="545">
        <f>351.04*N21</f>
        <v>210.624</v>
      </c>
      <c r="G21" s="295">
        <f>351.04*0.6+95.72</f>
        <v>306.34399999999999</v>
      </c>
      <c r="H21" s="306" t="s">
        <v>1035</v>
      </c>
      <c r="I21" s="306" t="s">
        <v>111</v>
      </c>
      <c r="J21" s="297">
        <v>55</v>
      </c>
      <c r="K21" s="298">
        <f t="shared" si="0"/>
        <v>45809</v>
      </c>
      <c r="L21" s="299"/>
      <c r="M21" s="299"/>
      <c r="N21" s="299">
        <f>N20</f>
        <v>0.6</v>
      </c>
    </row>
    <row r="22" spans="1:14" s="292" customFormat="1" ht="24.95" customHeight="1">
      <c r="A22" s="289" t="s">
        <v>1032</v>
      </c>
      <c r="B22" s="293" t="s">
        <v>98</v>
      </c>
      <c r="C22" s="303" t="s">
        <v>57</v>
      </c>
      <c r="D22" s="303" t="s">
        <v>31</v>
      </c>
      <c r="E22" s="303"/>
      <c r="F22" s="545">
        <f>458.03*N22</f>
        <v>274.81799999999998</v>
      </c>
      <c r="G22" s="295">
        <f>458.03*0.6+143.57</f>
        <v>418.38799999999998</v>
      </c>
      <c r="H22" s="306" t="s">
        <v>1035</v>
      </c>
      <c r="I22" s="306" t="s">
        <v>111</v>
      </c>
      <c r="J22" s="297">
        <v>75</v>
      </c>
      <c r="K22" s="298">
        <f t="shared" si="0"/>
        <v>45809</v>
      </c>
      <c r="L22" s="299"/>
      <c r="M22" s="299"/>
      <c r="N22" s="299">
        <f>N21</f>
        <v>0.6</v>
      </c>
    </row>
    <row r="23" spans="1:14" s="292" customFormat="1" ht="24.95" customHeight="1">
      <c r="A23" s="301"/>
      <c r="B23" s="302"/>
      <c r="C23" s="302"/>
      <c r="D23" s="302"/>
      <c r="E23" s="302"/>
      <c r="F23" s="546"/>
      <c r="G23" s="302"/>
      <c r="H23" s="302"/>
      <c r="I23" s="302"/>
      <c r="J23" s="302"/>
      <c r="K23" s="302"/>
      <c r="L23" s="302"/>
      <c r="M23" s="302"/>
      <c r="N23" s="290"/>
    </row>
    <row r="24" spans="1:14" s="292" customFormat="1" ht="24.95" customHeight="1">
      <c r="A24" s="289" t="s">
        <v>1032</v>
      </c>
      <c r="B24" s="293" t="s">
        <v>98</v>
      </c>
      <c r="C24" s="294" t="s">
        <v>47</v>
      </c>
      <c r="D24" s="294" t="s">
        <v>99</v>
      </c>
      <c r="E24" s="294"/>
      <c r="F24" s="547">
        <f>314.91*N24</f>
        <v>157.45500000000001</v>
      </c>
      <c r="G24" s="304">
        <f>314.91*0.5+10.79</f>
        <v>168.245</v>
      </c>
      <c r="H24" s="306" t="s">
        <v>1036</v>
      </c>
      <c r="I24" s="306" t="s">
        <v>1037</v>
      </c>
      <c r="J24" s="297">
        <v>25</v>
      </c>
      <c r="K24" s="298">
        <f>K22</f>
        <v>45809</v>
      </c>
      <c r="L24" s="299"/>
      <c r="M24" s="299"/>
      <c r="N24" s="299">
        <v>0.5</v>
      </c>
    </row>
    <row r="25" spans="1:14" s="292" customFormat="1" ht="24.95" customHeight="1">
      <c r="A25" s="289" t="s">
        <v>1032</v>
      </c>
      <c r="B25" s="293" t="s">
        <v>98</v>
      </c>
      <c r="C25" s="294" t="s">
        <v>49</v>
      </c>
      <c r="D25" s="294" t="s">
        <v>104</v>
      </c>
      <c r="E25" s="294"/>
      <c r="F25" s="547">
        <f>406.36*N25</f>
        <v>203.18</v>
      </c>
      <c r="G25" s="304">
        <f>406.36*0.5+18</f>
        <v>221.18</v>
      </c>
      <c r="H25" s="306" t="s">
        <v>1036</v>
      </c>
      <c r="I25" s="306" t="s">
        <v>1037</v>
      </c>
      <c r="J25" s="297">
        <v>30</v>
      </c>
      <c r="K25" s="298">
        <f t="shared" si="0"/>
        <v>45809</v>
      </c>
      <c r="L25" s="299"/>
      <c r="M25" s="299"/>
      <c r="N25" s="299">
        <f>N24</f>
        <v>0.5</v>
      </c>
    </row>
    <row r="26" spans="1:14" s="292" customFormat="1" ht="24.95" customHeight="1">
      <c r="A26" s="289" t="s">
        <v>1032</v>
      </c>
      <c r="B26" s="293" t="s">
        <v>98</v>
      </c>
      <c r="C26" s="294" t="s">
        <v>51</v>
      </c>
      <c r="D26" s="294" t="s">
        <v>105</v>
      </c>
      <c r="E26" s="294"/>
      <c r="F26" s="547">
        <f>497.93*N26</f>
        <v>248.965</v>
      </c>
      <c r="G26" s="304">
        <f>497.93*0.5+40.77</f>
        <v>289.73500000000001</v>
      </c>
      <c r="H26" s="306" t="s">
        <v>1036</v>
      </c>
      <c r="I26" s="306" t="s">
        <v>1037</v>
      </c>
      <c r="J26" s="297">
        <v>35</v>
      </c>
      <c r="K26" s="298">
        <f t="shared" si="0"/>
        <v>45809</v>
      </c>
      <c r="L26" s="299"/>
      <c r="M26" s="299"/>
      <c r="N26" s="299">
        <f>N25</f>
        <v>0.5</v>
      </c>
    </row>
    <row r="27" spans="1:14" s="292" customFormat="1" ht="24.95" customHeight="1">
      <c r="A27" s="289" t="s">
        <v>1032</v>
      </c>
      <c r="B27" s="293" t="s">
        <v>98</v>
      </c>
      <c r="C27" s="294" t="s">
        <v>53</v>
      </c>
      <c r="D27" s="294" t="s">
        <v>106</v>
      </c>
      <c r="E27" s="294"/>
      <c r="F27" s="547">
        <f>670.5*N27</f>
        <v>335.25</v>
      </c>
      <c r="G27" s="304">
        <f>670.5*0.5+63.7</f>
        <v>398.95</v>
      </c>
      <c r="H27" s="306" t="s">
        <v>1036</v>
      </c>
      <c r="I27" s="306" t="s">
        <v>1037</v>
      </c>
      <c r="J27" s="297">
        <v>50</v>
      </c>
      <c r="K27" s="298">
        <f t="shared" si="0"/>
        <v>45809</v>
      </c>
      <c r="L27" s="299"/>
      <c r="M27" s="299"/>
      <c r="N27" s="299">
        <f>N26</f>
        <v>0.5</v>
      </c>
    </row>
    <row r="28" spans="1:14" s="292" customFormat="1" ht="24.95" customHeight="1">
      <c r="A28" s="289" t="s">
        <v>1032</v>
      </c>
      <c r="B28" s="293" t="s">
        <v>98</v>
      </c>
      <c r="C28" s="294" t="s">
        <v>55</v>
      </c>
      <c r="D28" s="294" t="s">
        <v>107</v>
      </c>
      <c r="E28" s="294"/>
      <c r="F28" s="547">
        <f>893.96*N28</f>
        <v>446.98</v>
      </c>
      <c r="G28" s="304">
        <f>893.96*0.5+95.72</f>
        <v>542.70000000000005</v>
      </c>
      <c r="H28" s="306" t="s">
        <v>1036</v>
      </c>
      <c r="I28" s="306" t="s">
        <v>1037</v>
      </c>
      <c r="J28" s="297">
        <v>55</v>
      </c>
      <c r="K28" s="298">
        <f t="shared" si="0"/>
        <v>45809</v>
      </c>
      <c r="L28" s="299"/>
      <c r="M28" s="299"/>
      <c r="N28" s="299">
        <f>N27</f>
        <v>0.5</v>
      </c>
    </row>
    <row r="29" spans="1:14" s="292" customFormat="1" ht="24.95" customHeight="1">
      <c r="A29" s="289" t="s">
        <v>1032</v>
      </c>
      <c r="B29" s="293" t="s">
        <v>98</v>
      </c>
      <c r="C29" s="294" t="s">
        <v>57</v>
      </c>
      <c r="D29" s="294" t="s">
        <v>31</v>
      </c>
      <c r="E29" s="294"/>
      <c r="F29" s="547">
        <f>1239.23*N29</f>
        <v>619.61500000000001</v>
      </c>
      <c r="G29" s="304">
        <f>1239.23*0.5+143.57</f>
        <v>763.18499999999995</v>
      </c>
      <c r="H29" s="306" t="s">
        <v>1036</v>
      </c>
      <c r="I29" s="306" t="s">
        <v>1037</v>
      </c>
      <c r="J29" s="297">
        <v>75</v>
      </c>
      <c r="K29" s="298">
        <f t="shared" si="0"/>
        <v>45809</v>
      </c>
      <c r="L29" s="299"/>
      <c r="M29" s="299"/>
      <c r="N29" s="299">
        <f>N28</f>
        <v>0.5</v>
      </c>
    </row>
    <row r="30" spans="1:14" s="292" customFormat="1" ht="24.95" customHeight="1">
      <c r="A30" s="301"/>
      <c r="B30" s="302"/>
      <c r="C30" s="302"/>
      <c r="D30" s="302"/>
      <c r="E30" s="302"/>
      <c r="F30" s="546"/>
      <c r="G30" s="302"/>
      <c r="H30" s="302"/>
      <c r="I30" s="302"/>
      <c r="J30" s="302"/>
      <c r="K30" s="302"/>
      <c r="L30" s="302"/>
      <c r="M30" s="302"/>
      <c r="N30" s="290"/>
    </row>
    <row r="31" spans="1:14" s="292" customFormat="1" ht="24.95" customHeight="1">
      <c r="A31" s="289" t="s">
        <v>1032</v>
      </c>
      <c r="B31" s="293" t="s">
        <v>98</v>
      </c>
      <c r="C31" s="294" t="s">
        <v>47</v>
      </c>
      <c r="D31" s="294" t="s">
        <v>99</v>
      </c>
      <c r="E31" s="294"/>
      <c r="F31" s="547">
        <f>223.47*N31</f>
        <v>111.735</v>
      </c>
      <c r="G31" s="304">
        <f>223.47*0.5+10.79</f>
        <v>122.52500000000001</v>
      </c>
      <c r="H31" s="306" t="s">
        <v>1036</v>
      </c>
      <c r="I31" s="306" t="s">
        <v>1038</v>
      </c>
      <c r="J31" s="297">
        <v>25</v>
      </c>
      <c r="K31" s="298">
        <f>K29</f>
        <v>45809</v>
      </c>
      <c r="L31" s="299"/>
      <c r="M31" s="299"/>
      <c r="N31" s="299">
        <f>N29</f>
        <v>0.5</v>
      </c>
    </row>
    <row r="32" spans="1:14" s="292" customFormat="1" ht="24.95" customHeight="1">
      <c r="A32" s="289" t="s">
        <v>1032</v>
      </c>
      <c r="B32" s="293" t="s">
        <v>98</v>
      </c>
      <c r="C32" s="294" t="s">
        <v>49</v>
      </c>
      <c r="D32" s="294" t="s">
        <v>104</v>
      </c>
      <c r="E32" s="294"/>
      <c r="F32" s="547">
        <f>254.23*N32</f>
        <v>127.11499999999999</v>
      </c>
      <c r="G32" s="304">
        <f>254.23*0.5+18</f>
        <v>145.11500000000001</v>
      </c>
      <c r="H32" s="306" t="s">
        <v>1036</v>
      </c>
      <c r="I32" s="306" t="s">
        <v>1038</v>
      </c>
      <c r="J32" s="297">
        <v>30</v>
      </c>
      <c r="K32" s="298">
        <f t="shared" si="0"/>
        <v>45809</v>
      </c>
      <c r="L32" s="299"/>
      <c r="M32" s="299"/>
      <c r="N32" s="299">
        <f>N31</f>
        <v>0.5</v>
      </c>
    </row>
    <row r="33" spans="1:14" s="292" customFormat="1" ht="24.95" customHeight="1">
      <c r="A33" s="289" t="s">
        <v>1032</v>
      </c>
      <c r="B33" s="293" t="s">
        <v>98</v>
      </c>
      <c r="C33" s="294" t="s">
        <v>51</v>
      </c>
      <c r="D33" s="294" t="s">
        <v>105</v>
      </c>
      <c r="E33" s="294"/>
      <c r="F33" s="547">
        <f>345.44*N33</f>
        <v>172.72</v>
      </c>
      <c r="G33" s="304">
        <f>345.44*0.5+40.77</f>
        <v>213.49</v>
      </c>
      <c r="H33" s="306" t="s">
        <v>1036</v>
      </c>
      <c r="I33" s="306" t="s">
        <v>1038</v>
      </c>
      <c r="J33" s="297">
        <v>35</v>
      </c>
      <c r="K33" s="298">
        <f t="shared" si="0"/>
        <v>45809</v>
      </c>
      <c r="L33" s="299"/>
      <c r="M33" s="299"/>
      <c r="N33" s="299">
        <f>N32</f>
        <v>0.5</v>
      </c>
    </row>
    <row r="34" spans="1:14" s="292" customFormat="1" ht="24.95" customHeight="1">
      <c r="A34" s="289" t="s">
        <v>1032</v>
      </c>
      <c r="B34" s="293" t="s">
        <v>98</v>
      </c>
      <c r="C34" s="294" t="s">
        <v>53</v>
      </c>
      <c r="D34" s="294" t="s">
        <v>106</v>
      </c>
      <c r="E34" s="294"/>
      <c r="F34" s="547">
        <f>487.63*N34</f>
        <v>243.815</v>
      </c>
      <c r="G34" s="304">
        <f>487.63*0.5+63.7</f>
        <v>307.51499999999999</v>
      </c>
      <c r="H34" s="306" t="s">
        <v>1036</v>
      </c>
      <c r="I34" s="306" t="s">
        <v>1038</v>
      </c>
      <c r="J34" s="297">
        <v>50</v>
      </c>
      <c r="K34" s="298">
        <f t="shared" si="0"/>
        <v>45809</v>
      </c>
      <c r="L34" s="299"/>
      <c r="M34" s="299"/>
      <c r="N34" s="299">
        <f>N33</f>
        <v>0.5</v>
      </c>
    </row>
    <row r="35" spans="1:14" s="292" customFormat="1" ht="24.95" customHeight="1">
      <c r="A35" s="289" t="s">
        <v>1032</v>
      </c>
      <c r="B35" s="293" t="s">
        <v>98</v>
      </c>
      <c r="C35" s="294" t="s">
        <v>55</v>
      </c>
      <c r="D35" s="294" t="s">
        <v>107</v>
      </c>
      <c r="E35" s="294"/>
      <c r="F35" s="547">
        <f>589.1*N35</f>
        <v>294.55</v>
      </c>
      <c r="G35" s="304">
        <f>589.1*0.5+95.72</f>
        <v>390.27</v>
      </c>
      <c r="H35" s="306" t="s">
        <v>1036</v>
      </c>
      <c r="I35" s="306" t="s">
        <v>1038</v>
      </c>
      <c r="J35" s="297">
        <v>55</v>
      </c>
      <c r="K35" s="298">
        <f t="shared" si="0"/>
        <v>45809</v>
      </c>
      <c r="L35" s="299"/>
      <c r="M35" s="299"/>
      <c r="N35" s="299">
        <f>N34</f>
        <v>0.5</v>
      </c>
    </row>
    <row r="36" spans="1:14" s="292" customFormat="1" ht="24.95" customHeight="1">
      <c r="A36" s="289" t="s">
        <v>1032</v>
      </c>
      <c r="B36" s="293" t="s">
        <v>98</v>
      </c>
      <c r="C36" s="294" t="s">
        <v>57</v>
      </c>
      <c r="D36" s="294" t="s">
        <v>31</v>
      </c>
      <c r="E36" s="294"/>
      <c r="F36" s="547">
        <f>812.69*N36</f>
        <v>406.34500000000003</v>
      </c>
      <c r="G36" s="304">
        <f>812.69*0.5+143.57</f>
        <v>549.91499999999996</v>
      </c>
      <c r="H36" s="306" t="s">
        <v>1036</v>
      </c>
      <c r="I36" s="306" t="s">
        <v>1038</v>
      </c>
      <c r="J36" s="297">
        <v>75</v>
      </c>
      <c r="K36" s="298">
        <f t="shared" si="0"/>
        <v>45809</v>
      </c>
      <c r="L36" s="299"/>
      <c r="M36" s="299"/>
      <c r="N36" s="299">
        <f>N35</f>
        <v>0.5</v>
      </c>
    </row>
    <row r="37" spans="1:14" s="292" customFormat="1" ht="24.95" customHeight="1">
      <c r="A37" s="289" t="s">
        <v>1032</v>
      </c>
      <c r="B37" s="290"/>
      <c r="C37" s="290"/>
      <c r="D37" s="290"/>
      <c r="E37" s="290"/>
      <c r="F37" s="290"/>
      <c r="G37" s="290"/>
      <c r="H37" s="290"/>
      <c r="I37" s="290"/>
      <c r="J37" s="544"/>
      <c r="K37" s="290"/>
      <c r="L37" s="307"/>
      <c r="M37" s="307"/>
      <c r="N37" s="290"/>
    </row>
    <row r="38" spans="1:14" s="292" customFormat="1" ht="24.95" customHeight="1">
      <c r="A38" s="289" t="s">
        <v>1032</v>
      </c>
      <c r="B38" s="293" t="s">
        <v>1039</v>
      </c>
      <c r="C38" s="294" t="s">
        <v>47</v>
      </c>
      <c r="D38" s="294" t="s">
        <v>99</v>
      </c>
      <c r="E38" s="294"/>
      <c r="F38" s="547">
        <f>3130.02*N38</f>
        <v>1565.01</v>
      </c>
      <c r="G38" s="308">
        <f>F38+M38</f>
        <v>1565.01</v>
      </c>
      <c r="H38" s="296" t="s">
        <v>1036</v>
      </c>
      <c r="I38" s="296" t="s">
        <v>117</v>
      </c>
      <c r="J38" s="297">
        <v>25</v>
      </c>
      <c r="K38" s="298">
        <v>45809</v>
      </c>
      <c r="L38" s="299"/>
      <c r="M38" s="299"/>
      <c r="N38" s="299">
        <f>N36</f>
        <v>0.5</v>
      </c>
    </row>
    <row r="39" spans="1:14" s="292" customFormat="1" ht="24.95" customHeight="1">
      <c r="A39" s="289" t="s">
        <v>1032</v>
      </c>
      <c r="B39" s="293" t="s">
        <v>1039</v>
      </c>
      <c r="C39" s="294" t="s">
        <v>49</v>
      </c>
      <c r="D39" s="294" t="s">
        <v>104</v>
      </c>
      <c r="E39" s="294"/>
      <c r="F39" s="547">
        <f>3294.74*N39</f>
        <v>1647.37</v>
      </c>
      <c r="G39" s="308">
        <f t="shared" ref="G39:G94" si="1">F39+M39</f>
        <v>1647.37</v>
      </c>
      <c r="H39" s="296" t="s">
        <v>1036</v>
      </c>
      <c r="I39" s="296" t="s">
        <v>117</v>
      </c>
      <c r="J39" s="297">
        <v>30</v>
      </c>
      <c r="K39" s="298">
        <f t="shared" si="0"/>
        <v>45809</v>
      </c>
      <c r="L39" s="299"/>
      <c r="M39" s="299"/>
      <c r="N39" s="299">
        <f>N38</f>
        <v>0.5</v>
      </c>
    </row>
    <row r="40" spans="1:14" s="292" customFormat="1" ht="24.95" customHeight="1">
      <c r="A40" s="289" t="s">
        <v>1032</v>
      </c>
      <c r="B40" s="293" t="s">
        <v>1039</v>
      </c>
      <c r="C40" s="294" t="s">
        <v>51</v>
      </c>
      <c r="D40" s="294" t="s">
        <v>105</v>
      </c>
      <c r="E40" s="294"/>
      <c r="F40" s="547">
        <f>4080.97*N40</f>
        <v>2040.4849999999999</v>
      </c>
      <c r="G40" s="308">
        <f t="shared" si="1"/>
        <v>2040.4849999999999</v>
      </c>
      <c r="H40" s="296" t="s">
        <v>1036</v>
      </c>
      <c r="I40" s="296" t="s">
        <v>117</v>
      </c>
      <c r="J40" s="297">
        <v>35</v>
      </c>
      <c r="K40" s="298">
        <f t="shared" si="0"/>
        <v>45809</v>
      </c>
      <c r="L40" s="299"/>
      <c r="M40" s="299"/>
      <c r="N40" s="299">
        <f>N39</f>
        <v>0.5</v>
      </c>
    </row>
    <row r="41" spans="1:14" s="292" customFormat="1" ht="24.95" customHeight="1">
      <c r="A41" s="289" t="s">
        <v>1032</v>
      </c>
      <c r="B41" s="293" t="s">
        <v>1039</v>
      </c>
      <c r="C41" s="294" t="s">
        <v>53</v>
      </c>
      <c r="D41" s="294" t="s">
        <v>106</v>
      </c>
      <c r="E41" s="294"/>
      <c r="F41" s="547">
        <f>5031.53*N41</f>
        <v>2515.7649999999999</v>
      </c>
      <c r="G41" s="308">
        <f t="shared" si="1"/>
        <v>2515.7649999999999</v>
      </c>
      <c r="H41" s="296" t="s">
        <v>1036</v>
      </c>
      <c r="I41" s="296" t="s">
        <v>117</v>
      </c>
      <c r="J41" s="297">
        <v>50</v>
      </c>
      <c r="K41" s="298">
        <f t="shared" si="0"/>
        <v>45809</v>
      </c>
      <c r="L41" s="299"/>
      <c r="M41" s="299"/>
      <c r="N41" s="299">
        <f>N40</f>
        <v>0.5</v>
      </c>
    </row>
    <row r="42" spans="1:14" s="292" customFormat="1" ht="24.95" customHeight="1">
      <c r="A42" s="289" t="s">
        <v>1032</v>
      </c>
      <c r="B42" s="293" t="s">
        <v>1039</v>
      </c>
      <c r="C42" s="294" t="s">
        <v>55</v>
      </c>
      <c r="D42" s="294" t="s">
        <v>107</v>
      </c>
      <c r="E42" s="294"/>
      <c r="F42" s="547">
        <f>8679.97*N42</f>
        <v>4339.9849999999997</v>
      </c>
      <c r="G42" s="308">
        <f t="shared" si="1"/>
        <v>4339.9849999999997</v>
      </c>
      <c r="H42" s="296" t="s">
        <v>1036</v>
      </c>
      <c r="I42" s="296" t="s">
        <v>117</v>
      </c>
      <c r="J42" s="297">
        <v>55</v>
      </c>
      <c r="K42" s="298">
        <f t="shared" si="0"/>
        <v>45809</v>
      </c>
      <c r="L42" s="299"/>
      <c r="M42" s="299"/>
      <c r="N42" s="299">
        <f>N41</f>
        <v>0.5</v>
      </c>
    </row>
    <row r="43" spans="1:14" s="292" customFormat="1" ht="24.95" customHeight="1">
      <c r="A43" s="289" t="s">
        <v>1032</v>
      </c>
      <c r="B43" s="293" t="s">
        <v>1039</v>
      </c>
      <c r="C43" s="294" t="s">
        <v>57</v>
      </c>
      <c r="D43" s="294" t="s">
        <v>31</v>
      </c>
      <c r="E43" s="294"/>
      <c r="F43" s="547">
        <f>9114.45*N43</f>
        <v>4557.2250000000004</v>
      </c>
      <c r="G43" s="308">
        <f t="shared" si="1"/>
        <v>4557.2250000000004</v>
      </c>
      <c r="H43" s="296" t="s">
        <v>1036</v>
      </c>
      <c r="I43" s="296" t="s">
        <v>117</v>
      </c>
      <c r="J43" s="297">
        <v>75</v>
      </c>
      <c r="K43" s="298">
        <f t="shared" si="0"/>
        <v>45809</v>
      </c>
      <c r="L43" s="299"/>
      <c r="M43" s="299"/>
      <c r="N43" s="299">
        <f>N42</f>
        <v>0.5</v>
      </c>
    </row>
    <row r="44" spans="1:14" s="292" customFormat="1" ht="24.95" customHeight="1">
      <c r="A44" s="289" t="s">
        <v>1032</v>
      </c>
      <c r="B44" s="293" t="s">
        <v>1040</v>
      </c>
      <c r="C44" s="294" t="s">
        <v>59</v>
      </c>
      <c r="D44" s="294" t="s">
        <v>1041</v>
      </c>
      <c r="E44" s="294"/>
      <c r="F44" s="547">
        <f>19222.21*N44</f>
        <v>9611.1049999999996</v>
      </c>
      <c r="G44" s="308">
        <f t="shared" si="1"/>
        <v>9695.1049999999996</v>
      </c>
      <c r="H44" s="296" t="s">
        <v>1036</v>
      </c>
      <c r="I44" s="296" t="s">
        <v>119</v>
      </c>
      <c r="J44" s="297">
        <v>120</v>
      </c>
      <c r="K44" s="298">
        <f t="shared" si="0"/>
        <v>45809</v>
      </c>
      <c r="L44" s="299"/>
      <c r="M44" s="299">
        <v>84</v>
      </c>
      <c r="N44" s="299">
        <f t="shared" ref="N44:N49" si="2">N43</f>
        <v>0.5</v>
      </c>
    </row>
    <row r="45" spans="1:14" s="292" customFormat="1" ht="24.95" customHeight="1">
      <c r="A45" s="289" t="s">
        <v>1032</v>
      </c>
      <c r="B45" s="293" t="s">
        <v>1040</v>
      </c>
      <c r="C45" s="294" t="s">
        <v>60</v>
      </c>
      <c r="D45" s="294" t="s">
        <v>1042</v>
      </c>
      <c r="E45" s="294"/>
      <c r="F45" s="547">
        <f>20355.31*N45</f>
        <v>10177.655000000001</v>
      </c>
      <c r="G45" s="308">
        <f t="shared" si="1"/>
        <v>10283.655000000001</v>
      </c>
      <c r="H45" s="296" t="s">
        <v>1036</v>
      </c>
      <c r="I45" s="296" t="s">
        <v>119</v>
      </c>
      <c r="J45" s="297">
        <v>150</v>
      </c>
      <c r="K45" s="298">
        <f t="shared" si="0"/>
        <v>45809</v>
      </c>
      <c r="L45" s="299"/>
      <c r="M45" s="299">
        <v>106</v>
      </c>
      <c r="N45" s="299">
        <f t="shared" si="2"/>
        <v>0.5</v>
      </c>
    </row>
    <row r="46" spans="1:14" s="292" customFormat="1" ht="24.95" customHeight="1">
      <c r="A46" s="289" t="s">
        <v>1032</v>
      </c>
      <c r="B46" s="293" t="s">
        <v>1040</v>
      </c>
      <c r="C46" s="294" t="s">
        <v>62</v>
      </c>
      <c r="D46" s="294" t="s">
        <v>1043</v>
      </c>
      <c r="E46" s="294"/>
      <c r="F46" s="547">
        <f>33931.79*N46</f>
        <v>16965.895</v>
      </c>
      <c r="G46" s="308">
        <f t="shared" si="1"/>
        <v>17091.895</v>
      </c>
      <c r="H46" s="296" t="s">
        <v>1036</v>
      </c>
      <c r="I46" s="296" t="s">
        <v>119</v>
      </c>
      <c r="J46" s="297">
        <v>162</v>
      </c>
      <c r="K46" s="298">
        <f t="shared" si="0"/>
        <v>45809</v>
      </c>
      <c r="L46" s="299"/>
      <c r="M46" s="299">
        <v>126</v>
      </c>
      <c r="N46" s="299">
        <f t="shared" si="2"/>
        <v>0.5</v>
      </c>
    </row>
    <row r="47" spans="1:14" s="292" customFormat="1" ht="24.95" customHeight="1">
      <c r="A47" s="289" t="s">
        <v>1032</v>
      </c>
      <c r="B47" s="293" t="s">
        <v>1040</v>
      </c>
      <c r="C47" s="294" t="s">
        <v>66</v>
      </c>
      <c r="D47" s="294" t="s">
        <v>120</v>
      </c>
      <c r="E47" s="294"/>
      <c r="F47" s="547">
        <f>51083.36*N47</f>
        <v>25541.68</v>
      </c>
      <c r="G47" s="308">
        <f t="shared" si="1"/>
        <v>25767.68</v>
      </c>
      <c r="H47" s="296" t="s">
        <v>1036</v>
      </c>
      <c r="I47" s="296" t="s">
        <v>119</v>
      </c>
      <c r="J47" s="297">
        <v>250</v>
      </c>
      <c r="K47" s="298">
        <f t="shared" si="0"/>
        <v>45809</v>
      </c>
      <c r="L47" s="299"/>
      <c r="M47" s="299">
        <v>226</v>
      </c>
      <c r="N47" s="299">
        <f t="shared" si="2"/>
        <v>0.5</v>
      </c>
    </row>
    <row r="48" spans="1:14" s="292" customFormat="1" ht="24.95" customHeight="1">
      <c r="A48" s="289" t="s">
        <v>1032</v>
      </c>
      <c r="B48" s="293" t="s">
        <v>1040</v>
      </c>
      <c r="C48" s="294" t="s">
        <v>121</v>
      </c>
      <c r="D48" s="294"/>
      <c r="E48" s="294"/>
      <c r="F48" s="547">
        <f>87906.53*N48</f>
        <v>43953.264999999999</v>
      </c>
      <c r="G48" s="308">
        <f t="shared" si="1"/>
        <v>44293.264999999999</v>
      </c>
      <c r="H48" s="296" t="s">
        <v>1036</v>
      </c>
      <c r="I48" s="296" t="s">
        <v>119</v>
      </c>
      <c r="J48" s="297">
        <v>325</v>
      </c>
      <c r="K48" s="298">
        <f t="shared" si="0"/>
        <v>45809</v>
      </c>
      <c r="L48" s="299"/>
      <c r="M48" s="299">
        <v>340</v>
      </c>
      <c r="N48" s="299">
        <f t="shared" si="2"/>
        <v>0.5</v>
      </c>
    </row>
    <row r="49" spans="1:14" s="292" customFormat="1" ht="24.95" customHeight="1">
      <c r="A49" s="289" t="s">
        <v>1032</v>
      </c>
      <c r="B49" s="293" t="s">
        <v>1040</v>
      </c>
      <c r="C49" s="294" t="s">
        <v>122</v>
      </c>
      <c r="D49" s="294"/>
      <c r="E49" s="294"/>
      <c r="F49" s="547">
        <f>121732.63*N49</f>
        <v>60866.315000000002</v>
      </c>
      <c r="G49" s="308">
        <f t="shared" si="1"/>
        <v>61370.315000000002</v>
      </c>
      <c r="H49" s="296" t="s">
        <v>1036</v>
      </c>
      <c r="I49" s="296" t="s">
        <v>119</v>
      </c>
      <c r="J49" s="297">
        <v>400</v>
      </c>
      <c r="K49" s="298">
        <f t="shared" si="0"/>
        <v>45809</v>
      </c>
      <c r="L49" s="299"/>
      <c r="M49" s="299">
        <v>504</v>
      </c>
      <c r="N49" s="299">
        <f t="shared" si="2"/>
        <v>0.5</v>
      </c>
    </row>
    <row r="50" spans="1:14" s="292" customFormat="1" ht="24.95" customHeight="1">
      <c r="A50" s="289" t="s">
        <v>1032</v>
      </c>
      <c r="B50" s="290"/>
      <c r="C50" s="290"/>
      <c r="D50" s="290"/>
      <c r="E50" s="290"/>
      <c r="F50" s="290"/>
      <c r="G50" s="290"/>
      <c r="H50" s="290"/>
      <c r="I50" s="290"/>
      <c r="J50" s="544"/>
      <c r="K50" s="290"/>
      <c r="L50" s="307"/>
      <c r="M50" s="307"/>
      <c r="N50" s="290"/>
    </row>
    <row r="51" spans="1:14" s="292" customFormat="1" ht="24.95" customHeight="1">
      <c r="A51" s="289" t="s">
        <v>1032</v>
      </c>
      <c r="B51" s="293" t="s">
        <v>1039</v>
      </c>
      <c r="C51" s="294" t="s">
        <v>47</v>
      </c>
      <c r="D51" s="294" t="s">
        <v>99</v>
      </c>
      <c r="E51" s="294"/>
      <c r="F51" s="547">
        <f>89.35*N51</f>
        <v>44.674999999999997</v>
      </c>
      <c r="G51" s="308">
        <f t="shared" si="1"/>
        <v>44.674999999999997</v>
      </c>
      <c r="H51" s="296" t="s">
        <v>1036</v>
      </c>
      <c r="I51" s="296" t="s">
        <v>124</v>
      </c>
      <c r="J51" s="297">
        <v>25</v>
      </c>
      <c r="K51" s="298">
        <v>45809</v>
      </c>
      <c r="L51" s="299"/>
      <c r="M51" s="299"/>
      <c r="N51" s="299">
        <f>N49</f>
        <v>0.5</v>
      </c>
    </row>
    <row r="52" spans="1:14" s="292" customFormat="1" ht="24.95" customHeight="1">
      <c r="A52" s="289" t="s">
        <v>1032</v>
      </c>
      <c r="B52" s="293" t="s">
        <v>1039</v>
      </c>
      <c r="C52" s="294" t="s">
        <v>49</v>
      </c>
      <c r="D52" s="294" t="s">
        <v>104</v>
      </c>
      <c r="E52" s="294"/>
      <c r="F52" s="547">
        <f>220.96*N52</f>
        <v>110.48</v>
      </c>
      <c r="G52" s="308">
        <f t="shared" si="1"/>
        <v>110.48</v>
      </c>
      <c r="H52" s="296" t="s">
        <v>1036</v>
      </c>
      <c r="I52" s="296" t="s">
        <v>124</v>
      </c>
      <c r="J52" s="297">
        <v>30</v>
      </c>
      <c r="K52" s="298">
        <f t="shared" si="0"/>
        <v>45809</v>
      </c>
      <c r="L52" s="299"/>
      <c r="M52" s="299"/>
      <c r="N52" s="299">
        <f>N51</f>
        <v>0.5</v>
      </c>
    </row>
    <row r="53" spans="1:14" s="292" customFormat="1" ht="24.95" customHeight="1">
      <c r="A53" s="289" t="s">
        <v>1032</v>
      </c>
      <c r="B53" s="293" t="s">
        <v>1039</v>
      </c>
      <c r="C53" s="294" t="s">
        <v>51</v>
      </c>
      <c r="D53" s="294" t="s">
        <v>105</v>
      </c>
      <c r="E53" s="294"/>
      <c r="F53" s="547">
        <f>607*N53</f>
        <v>303.5</v>
      </c>
      <c r="G53" s="308">
        <f t="shared" si="1"/>
        <v>303.5</v>
      </c>
      <c r="H53" s="296" t="s">
        <v>1036</v>
      </c>
      <c r="I53" s="296" t="s">
        <v>1044</v>
      </c>
      <c r="J53" s="297">
        <v>35</v>
      </c>
      <c r="K53" s="298">
        <f t="shared" si="0"/>
        <v>45809</v>
      </c>
      <c r="L53" s="299"/>
      <c r="M53" s="299"/>
      <c r="N53" s="299">
        <f>N52</f>
        <v>0.5</v>
      </c>
    </row>
    <row r="54" spans="1:14" s="292" customFormat="1" ht="24.95" customHeight="1">
      <c r="A54" s="289" t="s">
        <v>1032</v>
      </c>
      <c r="B54" s="293" t="s">
        <v>1039</v>
      </c>
      <c r="C54" s="294" t="s">
        <v>53</v>
      </c>
      <c r="D54" s="294" t="s">
        <v>106</v>
      </c>
      <c r="E54" s="294"/>
      <c r="F54" s="547">
        <f>772.92*N54</f>
        <v>386.46</v>
      </c>
      <c r="G54" s="308">
        <f t="shared" si="1"/>
        <v>386.46</v>
      </c>
      <c r="H54" s="296" t="s">
        <v>1036</v>
      </c>
      <c r="I54" s="296" t="s">
        <v>124</v>
      </c>
      <c r="J54" s="297">
        <v>50</v>
      </c>
      <c r="K54" s="298">
        <f t="shared" si="0"/>
        <v>45809</v>
      </c>
      <c r="L54" s="299"/>
      <c r="M54" s="299"/>
      <c r="N54" s="299">
        <f>N53</f>
        <v>0.5</v>
      </c>
    </row>
    <row r="55" spans="1:14" s="292" customFormat="1" ht="24.95" customHeight="1">
      <c r="A55" s="289" t="s">
        <v>1032</v>
      </c>
      <c r="B55" s="293" t="s">
        <v>1039</v>
      </c>
      <c r="C55" s="294" t="s">
        <v>55</v>
      </c>
      <c r="D55" s="294" t="s">
        <v>107</v>
      </c>
      <c r="E55" s="294"/>
      <c r="F55" s="547">
        <f>916.72*N55</f>
        <v>458.36</v>
      </c>
      <c r="G55" s="308">
        <f t="shared" si="1"/>
        <v>458.36</v>
      </c>
      <c r="H55" s="296" t="s">
        <v>1036</v>
      </c>
      <c r="I55" s="296" t="s">
        <v>124</v>
      </c>
      <c r="J55" s="297">
        <v>55</v>
      </c>
      <c r="K55" s="298">
        <f t="shared" si="0"/>
        <v>45809</v>
      </c>
      <c r="L55" s="299"/>
      <c r="M55" s="299"/>
      <c r="N55" s="299">
        <f>N54</f>
        <v>0.5</v>
      </c>
    </row>
    <row r="56" spans="1:14" s="292" customFormat="1" ht="24.95" customHeight="1">
      <c r="A56" s="289" t="s">
        <v>1032</v>
      </c>
      <c r="B56" s="293" t="s">
        <v>1040</v>
      </c>
      <c r="C56" s="294" t="s">
        <v>57</v>
      </c>
      <c r="D56" s="294" t="s">
        <v>31</v>
      </c>
      <c r="E56" s="294"/>
      <c r="F56" s="547">
        <f>3806.79*N56</f>
        <v>1903.395</v>
      </c>
      <c r="G56" s="308">
        <f t="shared" si="1"/>
        <v>1903.395</v>
      </c>
      <c r="H56" s="296" t="s">
        <v>1036</v>
      </c>
      <c r="I56" s="296" t="s">
        <v>1045</v>
      </c>
      <c r="J56" s="297">
        <v>75</v>
      </c>
      <c r="K56" s="298">
        <f t="shared" si="0"/>
        <v>45809</v>
      </c>
      <c r="L56" s="299"/>
      <c r="M56" s="299"/>
      <c r="N56" s="299">
        <f>N55</f>
        <v>0.5</v>
      </c>
    </row>
    <row r="57" spans="1:14" s="292" customFormat="1" ht="24.95" customHeight="1">
      <c r="A57" s="289" t="s">
        <v>1032</v>
      </c>
      <c r="B57" s="293" t="s">
        <v>1040</v>
      </c>
      <c r="C57" s="294" t="s">
        <v>59</v>
      </c>
      <c r="D57" s="294" t="s">
        <v>1041</v>
      </c>
      <c r="E57" s="294"/>
      <c r="F57" s="547">
        <f>3806.79*N57</f>
        <v>1903.395</v>
      </c>
      <c r="G57" s="308">
        <f t="shared" si="1"/>
        <v>1903.395</v>
      </c>
      <c r="H57" s="296" t="s">
        <v>1036</v>
      </c>
      <c r="I57" s="296" t="s">
        <v>1045</v>
      </c>
      <c r="J57" s="297">
        <v>120</v>
      </c>
      <c r="K57" s="298">
        <f t="shared" si="0"/>
        <v>45809</v>
      </c>
      <c r="L57" s="299"/>
      <c r="M57" s="299"/>
      <c r="N57" s="299">
        <f t="shared" ref="N57:N62" si="3">N56</f>
        <v>0.5</v>
      </c>
    </row>
    <row r="58" spans="1:14" s="292" customFormat="1" ht="24.95" customHeight="1">
      <c r="A58" s="289" t="s">
        <v>1032</v>
      </c>
      <c r="B58" s="293" t="s">
        <v>1040</v>
      </c>
      <c r="C58" s="294" t="s">
        <v>60</v>
      </c>
      <c r="D58" s="294" t="s">
        <v>1042</v>
      </c>
      <c r="E58" s="294"/>
      <c r="F58" s="547">
        <f>4712.38*N58</f>
        <v>2356.19</v>
      </c>
      <c r="G58" s="308">
        <f t="shared" si="1"/>
        <v>2356.19</v>
      </c>
      <c r="H58" s="296" t="s">
        <v>1036</v>
      </c>
      <c r="I58" s="296" t="s">
        <v>1045</v>
      </c>
      <c r="J58" s="297">
        <v>150</v>
      </c>
      <c r="K58" s="298">
        <f t="shared" si="0"/>
        <v>45809</v>
      </c>
      <c r="L58" s="299"/>
      <c r="M58" s="299"/>
      <c r="N58" s="299">
        <f t="shared" si="3"/>
        <v>0.5</v>
      </c>
    </row>
    <row r="59" spans="1:14" s="292" customFormat="1" ht="24.95" customHeight="1">
      <c r="A59" s="289" t="s">
        <v>1032</v>
      </c>
      <c r="B59" s="293" t="s">
        <v>1040</v>
      </c>
      <c r="C59" s="294" t="s">
        <v>62</v>
      </c>
      <c r="D59" s="294" t="s">
        <v>1043</v>
      </c>
      <c r="E59" s="294"/>
      <c r="F59" s="547">
        <f>6412.76*N59</f>
        <v>3206.38</v>
      </c>
      <c r="G59" s="308">
        <f t="shared" si="1"/>
        <v>3206.38</v>
      </c>
      <c r="H59" s="296" t="s">
        <v>1036</v>
      </c>
      <c r="I59" s="296" t="s">
        <v>1045</v>
      </c>
      <c r="J59" s="297">
        <v>162</v>
      </c>
      <c r="K59" s="298">
        <f t="shared" si="0"/>
        <v>45809</v>
      </c>
      <c r="L59" s="299"/>
      <c r="M59" s="299"/>
      <c r="N59" s="299">
        <f t="shared" si="3"/>
        <v>0.5</v>
      </c>
    </row>
    <row r="60" spans="1:14" s="292" customFormat="1" ht="24.95" customHeight="1">
      <c r="A60" s="289" t="s">
        <v>1032</v>
      </c>
      <c r="B60" s="293" t="s">
        <v>1040</v>
      </c>
      <c r="C60" s="294" t="s">
        <v>66</v>
      </c>
      <c r="D60" s="294" t="s">
        <v>120</v>
      </c>
      <c r="E60" s="294"/>
      <c r="F60" s="547">
        <f>14200.93*0.5</f>
        <v>7100.4650000000001</v>
      </c>
      <c r="G60" s="308">
        <f t="shared" si="1"/>
        <v>7100.4650000000001</v>
      </c>
      <c r="H60" s="296" t="s">
        <v>1036</v>
      </c>
      <c r="I60" s="296" t="s">
        <v>1045</v>
      </c>
      <c r="J60" s="297">
        <v>250</v>
      </c>
      <c r="K60" s="298">
        <f t="shared" si="0"/>
        <v>45809</v>
      </c>
      <c r="L60" s="299"/>
      <c r="M60" s="299"/>
      <c r="N60" s="299">
        <f t="shared" si="3"/>
        <v>0.5</v>
      </c>
    </row>
    <row r="61" spans="1:14" s="292" customFormat="1" ht="24.95" customHeight="1">
      <c r="A61" s="289" t="s">
        <v>1032</v>
      </c>
      <c r="B61" s="293" t="s">
        <v>1040</v>
      </c>
      <c r="C61" s="294" t="s">
        <v>121</v>
      </c>
      <c r="D61" s="294"/>
      <c r="E61" s="294"/>
      <c r="F61" s="547">
        <f>27594.8*N61</f>
        <v>13797.4</v>
      </c>
      <c r="G61" s="308">
        <f t="shared" si="1"/>
        <v>13797.4</v>
      </c>
      <c r="H61" s="296" t="s">
        <v>1036</v>
      </c>
      <c r="I61" s="296" t="s">
        <v>1045</v>
      </c>
      <c r="J61" s="297">
        <v>325</v>
      </c>
      <c r="K61" s="298">
        <f t="shared" si="0"/>
        <v>45809</v>
      </c>
      <c r="L61" s="299"/>
      <c r="M61" s="299"/>
      <c r="N61" s="299">
        <f t="shared" si="3"/>
        <v>0.5</v>
      </c>
    </row>
    <row r="62" spans="1:14" s="292" customFormat="1" ht="24.95" customHeight="1">
      <c r="A62" s="289" t="s">
        <v>1032</v>
      </c>
      <c r="B62" s="293" t="s">
        <v>1040</v>
      </c>
      <c r="C62" s="294" t="s">
        <v>122</v>
      </c>
      <c r="D62" s="294"/>
      <c r="E62" s="294"/>
      <c r="F62" s="547">
        <f>50868.57*N62</f>
        <v>25434.285</v>
      </c>
      <c r="G62" s="308">
        <f t="shared" si="1"/>
        <v>25434.285</v>
      </c>
      <c r="H62" s="296" t="s">
        <v>1036</v>
      </c>
      <c r="I62" s="296" t="s">
        <v>1045</v>
      </c>
      <c r="J62" s="297">
        <v>400</v>
      </c>
      <c r="K62" s="298">
        <f t="shared" si="0"/>
        <v>45809</v>
      </c>
      <c r="L62" s="299"/>
      <c r="M62" s="299"/>
      <c r="N62" s="299">
        <f t="shared" si="3"/>
        <v>0.5</v>
      </c>
    </row>
    <row r="63" spans="1:14" s="292" customFormat="1" ht="24.95" customHeight="1">
      <c r="A63" s="289" t="s">
        <v>1046</v>
      </c>
      <c r="B63" s="290"/>
      <c r="C63" s="290"/>
      <c r="D63" s="290"/>
      <c r="E63" s="290"/>
      <c r="F63" s="290"/>
      <c r="G63" s="290"/>
      <c r="H63" s="290"/>
      <c r="I63" s="290"/>
      <c r="J63" s="544"/>
      <c r="K63" s="290"/>
      <c r="L63" s="307"/>
      <c r="M63" s="307"/>
      <c r="N63" s="290"/>
    </row>
    <row r="64" spans="1:14" s="292" customFormat="1" ht="24.95" customHeight="1">
      <c r="A64" s="289" t="s">
        <v>1046</v>
      </c>
      <c r="B64" s="293" t="s">
        <v>1047</v>
      </c>
      <c r="C64" s="294" t="s">
        <v>47</v>
      </c>
      <c r="D64" s="294" t="s">
        <v>99</v>
      </c>
      <c r="E64" s="294"/>
      <c r="F64" s="547">
        <f>303.15*N64</f>
        <v>151.57499999999999</v>
      </c>
      <c r="G64" s="308">
        <f t="shared" si="1"/>
        <v>151.57499999999999</v>
      </c>
      <c r="H64" s="296" t="s">
        <v>1036</v>
      </c>
      <c r="I64" s="296" t="s">
        <v>131</v>
      </c>
      <c r="J64" s="297">
        <v>25</v>
      </c>
      <c r="K64" s="298">
        <v>45809</v>
      </c>
      <c r="L64" s="299"/>
      <c r="M64" s="299"/>
      <c r="N64" s="299">
        <f>N62</f>
        <v>0.5</v>
      </c>
    </row>
    <row r="65" spans="1:14" s="292" customFormat="1" ht="24.95" customHeight="1">
      <c r="A65" s="289" t="s">
        <v>1046</v>
      </c>
      <c r="B65" s="293" t="s">
        <v>1047</v>
      </c>
      <c r="C65" s="294" t="s">
        <v>49</v>
      </c>
      <c r="D65" s="294" t="s">
        <v>104</v>
      </c>
      <c r="E65" s="294"/>
      <c r="F65" s="547">
        <f>303.15*N65</f>
        <v>151.57499999999999</v>
      </c>
      <c r="G65" s="308">
        <f t="shared" si="1"/>
        <v>151.57499999999999</v>
      </c>
      <c r="H65" s="296" t="s">
        <v>1036</v>
      </c>
      <c r="I65" s="296" t="s">
        <v>131</v>
      </c>
      <c r="J65" s="297">
        <v>30</v>
      </c>
      <c r="K65" s="298">
        <f t="shared" si="0"/>
        <v>45809</v>
      </c>
      <c r="L65" s="299"/>
      <c r="M65" s="299"/>
      <c r="N65" s="299">
        <f>N64</f>
        <v>0.5</v>
      </c>
    </row>
    <row r="66" spans="1:14" s="292" customFormat="1" ht="24.95" customHeight="1">
      <c r="A66" s="289" t="s">
        <v>1046</v>
      </c>
      <c r="B66" s="293" t="s">
        <v>1047</v>
      </c>
      <c r="C66" s="294" t="s">
        <v>51</v>
      </c>
      <c r="D66" s="294" t="s">
        <v>105</v>
      </c>
      <c r="E66" s="294"/>
      <c r="F66" s="547">
        <f>364.4*N66</f>
        <v>182.2</v>
      </c>
      <c r="G66" s="308">
        <f t="shared" si="1"/>
        <v>182.2</v>
      </c>
      <c r="H66" s="296" t="s">
        <v>1036</v>
      </c>
      <c r="I66" s="296" t="s">
        <v>131</v>
      </c>
      <c r="J66" s="297">
        <v>35</v>
      </c>
      <c r="K66" s="298">
        <f t="shared" si="0"/>
        <v>45809</v>
      </c>
      <c r="L66" s="299"/>
      <c r="M66" s="299"/>
      <c r="N66" s="299">
        <f>N65</f>
        <v>0.5</v>
      </c>
    </row>
    <row r="67" spans="1:14" s="292" customFormat="1" ht="24.95" customHeight="1">
      <c r="A67" s="289" t="s">
        <v>1046</v>
      </c>
      <c r="B67" s="293" t="s">
        <v>1047</v>
      </c>
      <c r="C67" s="294" t="s">
        <v>53</v>
      </c>
      <c r="D67" s="294" t="s">
        <v>106</v>
      </c>
      <c r="E67" s="294"/>
      <c r="F67" s="547">
        <f>402.64*N67</f>
        <v>201.32</v>
      </c>
      <c r="G67" s="308">
        <f t="shared" si="1"/>
        <v>201.32</v>
      </c>
      <c r="H67" s="296" t="s">
        <v>1036</v>
      </c>
      <c r="I67" s="296" t="s">
        <v>131</v>
      </c>
      <c r="J67" s="297">
        <v>50</v>
      </c>
      <c r="K67" s="298">
        <f t="shared" si="0"/>
        <v>45809</v>
      </c>
      <c r="L67" s="299"/>
      <c r="M67" s="299"/>
      <c r="N67" s="299">
        <f>N66</f>
        <v>0.5</v>
      </c>
    </row>
    <row r="68" spans="1:14" s="292" customFormat="1" ht="24.95" customHeight="1">
      <c r="A68" s="289" t="s">
        <v>1046</v>
      </c>
      <c r="B68" s="293" t="s">
        <v>1047</v>
      </c>
      <c r="C68" s="294" t="s">
        <v>55</v>
      </c>
      <c r="D68" s="294" t="s">
        <v>107</v>
      </c>
      <c r="E68" s="294"/>
      <c r="F68" s="547">
        <f>603.99*N68</f>
        <v>301.995</v>
      </c>
      <c r="G68" s="308">
        <f t="shared" si="1"/>
        <v>301.995</v>
      </c>
      <c r="H68" s="296" t="s">
        <v>1036</v>
      </c>
      <c r="I68" s="296" t="s">
        <v>131</v>
      </c>
      <c r="J68" s="297">
        <v>55</v>
      </c>
      <c r="K68" s="298">
        <f t="shared" si="0"/>
        <v>45809</v>
      </c>
      <c r="L68" s="299"/>
      <c r="M68" s="299"/>
      <c r="N68" s="299">
        <f>N67</f>
        <v>0.5</v>
      </c>
    </row>
    <row r="69" spans="1:14" s="292" customFormat="1" ht="24.95" customHeight="1">
      <c r="A69" s="289" t="s">
        <v>1046</v>
      </c>
      <c r="B69" s="293" t="s">
        <v>1047</v>
      </c>
      <c r="C69" s="294" t="s">
        <v>57</v>
      </c>
      <c r="D69" s="294" t="s">
        <v>31</v>
      </c>
      <c r="E69" s="294"/>
      <c r="F69" s="547">
        <f>828.81*N69</f>
        <v>414.40499999999997</v>
      </c>
      <c r="G69" s="308">
        <f t="shared" si="1"/>
        <v>414.40499999999997</v>
      </c>
      <c r="H69" s="296" t="s">
        <v>1036</v>
      </c>
      <c r="I69" s="296" t="s">
        <v>131</v>
      </c>
      <c r="J69" s="297">
        <v>75</v>
      </c>
      <c r="K69" s="298">
        <f t="shared" ref="K69:K94" si="4">K68</f>
        <v>45809</v>
      </c>
      <c r="L69" s="299"/>
      <c r="M69" s="299"/>
      <c r="N69" s="299">
        <f>N68</f>
        <v>0.5</v>
      </c>
    </row>
    <row r="70" spans="1:14" s="292" customFormat="1" ht="24.95" customHeight="1">
      <c r="A70" s="289" t="s">
        <v>1046</v>
      </c>
      <c r="B70" s="293" t="s">
        <v>1047</v>
      </c>
      <c r="C70" s="294" t="s">
        <v>55</v>
      </c>
      <c r="D70" s="294" t="s">
        <v>107</v>
      </c>
      <c r="E70" s="294"/>
      <c r="F70" s="547">
        <f>957.05*N70</f>
        <v>478.52499999999998</v>
      </c>
      <c r="G70" s="308">
        <f t="shared" si="1"/>
        <v>543.52499999999998</v>
      </c>
      <c r="H70" s="296" t="s">
        <v>1036</v>
      </c>
      <c r="I70" s="296" t="s">
        <v>133</v>
      </c>
      <c r="J70" s="297">
        <v>55</v>
      </c>
      <c r="K70" s="298">
        <f t="shared" si="4"/>
        <v>45809</v>
      </c>
      <c r="L70" s="299"/>
      <c r="M70" s="299">
        <v>65</v>
      </c>
      <c r="N70" s="299">
        <f t="shared" ref="N70:N80" si="5">N69</f>
        <v>0.5</v>
      </c>
    </row>
    <row r="71" spans="1:14" s="292" customFormat="1" ht="24.95" customHeight="1">
      <c r="A71" s="289" t="s">
        <v>1046</v>
      </c>
      <c r="B71" s="293" t="s">
        <v>1047</v>
      </c>
      <c r="C71" s="294" t="s">
        <v>57</v>
      </c>
      <c r="D71" s="294" t="s">
        <v>31</v>
      </c>
      <c r="E71" s="294"/>
      <c r="F71" s="547">
        <f>957.05*N70</f>
        <v>478.52499999999998</v>
      </c>
      <c r="G71" s="308">
        <f t="shared" si="1"/>
        <v>550.52499999999998</v>
      </c>
      <c r="H71" s="296" t="s">
        <v>1036</v>
      </c>
      <c r="I71" s="296" t="s">
        <v>133</v>
      </c>
      <c r="J71" s="297">
        <v>75</v>
      </c>
      <c r="K71" s="298">
        <f t="shared" si="4"/>
        <v>45809</v>
      </c>
      <c r="L71" s="299"/>
      <c r="M71" s="299">
        <v>72</v>
      </c>
      <c r="N71" s="299">
        <f t="shared" si="5"/>
        <v>0.5</v>
      </c>
    </row>
    <row r="72" spans="1:14" s="292" customFormat="1" ht="24.95" customHeight="1">
      <c r="A72" s="289" t="s">
        <v>1046</v>
      </c>
      <c r="B72" s="293" t="s">
        <v>1047</v>
      </c>
      <c r="C72" s="294" t="s">
        <v>59</v>
      </c>
      <c r="D72" s="294" t="s">
        <v>1041</v>
      </c>
      <c r="E72" s="294"/>
      <c r="F72" s="547">
        <f>957.05*N72</f>
        <v>478.52499999999998</v>
      </c>
      <c r="G72" s="308">
        <f t="shared" si="1"/>
        <v>562.52499999999998</v>
      </c>
      <c r="H72" s="296" t="s">
        <v>1036</v>
      </c>
      <c r="I72" s="296" t="s">
        <v>133</v>
      </c>
      <c r="J72" s="297">
        <v>120</v>
      </c>
      <c r="K72" s="298">
        <f t="shared" si="4"/>
        <v>45809</v>
      </c>
      <c r="L72" s="299"/>
      <c r="M72" s="299">
        <v>84</v>
      </c>
      <c r="N72" s="299">
        <f t="shared" si="5"/>
        <v>0.5</v>
      </c>
    </row>
    <row r="73" spans="1:14" s="292" customFormat="1" ht="24.95" customHeight="1">
      <c r="A73" s="289" t="s">
        <v>1046</v>
      </c>
      <c r="B73" s="293" t="s">
        <v>1047</v>
      </c>
      <c r="C73" s="294" t="s">
        <v>60</v>
      </c>
      <c r="D73" s="294" t="s">
        <v>1042</v>
      </c>
      <c r="E73" s="294"/>
      <c r="F73" s="547">
        <f>1208.99*N73</f>
        <v>604.495</v>
      </c>
      <c r="G73" s="308">
        <f t="shared" si="1"/>
        <v>710.495</v>
      </c>
      <c r="H73" s="296" t="s">
        <v>1036</v>
      </c>
      <c r="I73" s="296" t="s">
        <v>133</v>
      </c>
      <c r="J73" s="297">
        <v>150</v>
      </c>
      <c r="K73" s="298">
        <f t="shared" si="4"/>
        <v>45809</v>
      </c>
      <c r="L73" s="299"/>
      <c r="M73" s="299">
        <v>106</v>
      </c>
      <c r="N73" s="299">
        <f t="shared" si="5"/>
        <v>0.5</v>
      </c>
    </row>
    <row r="74" spans="1:14" s="292" customFormat="1" ht="24.95" customHeight="1">
      <c r="A74" s="289" t="s">
        <v>1046</v>
      </c>
      <c r="B74" s="293" t="s">
        <v>1047</v>
      </c>
      <c r="C74" s="294" t="s">
        <v>62</v>
      </c>
      <c r="D74" s="294" t="s">
        <v>1043</v>
      </c>
      <c r="E74" s="294"/>
      <c r="F74" s="547">
        <f>1564.42*N74</f>
        <v>782.21</v>
      </c>
      <c r="G74" s="308">
        <f t="shared" si="1"/>
        <v>908.21</v>
      </c>
      <c r="H74" s="296" t="s">
        <v>1036</v>
      </c>
      <c r="I74" s="296" t="s">
        <v>133</v>
      </c>
      <c r="J74" s="297">
        <v>162</v>
      </c>
      <c r="K74" s="298">
        <f t="shared" si="4"/>
        <v>45809</v>
      </c>
      <c r="L74" s="299"/>
      <c r="M74" s="299">
        <v>126</v>
      </c>
      <c r="N74" s="299">
        <f t="shared" si="5"/>
        <v>0.5</v>
      </c>
    </row>
    <row r="75" spans="1:14" s="292" customFormat="1" ht="24.95" customHeight="1">
      <c r="A75" s="289" t="s">
        <v>1046</v>
      </c>
      <c r="B75" s="293" t="s">
        <v>1047</v>
      </c>
      <c r="C75" s="294" t="s">
        <v>63</v>
      </c>
      <c r="D75" s="294" t="s">
        <v>64</v>
      </c>
      <c r="E75" s="294"/>
      <c r="F75" s="547">
        <f>2383.89*N75</f>
        <v>1191.9449999999999</v>
      </c>
      <c r="G75" s="308">
        <f t="shared" si="1"/>
        <v>1395.9449999999999</v>
      </c>
      <c r="H75" s="296" t="s">
        <v>1036</v>
      </c>
      <c r="I75" s="296" t="s">
        <v>133</v>
      </c>
      <c r="J75" s="297">
        <v>200</v>
      </c>
      <c r="K75" s="298">
        <f t="shared" si="4"/>
        <v>45809</v>
      </c>
      <c r="L75" s="299"/>
      <c r="M75" s="299">
        <v>204</v>
      </c>
      <c r="N75" s="299">
        <f t="shared" si="5"/>
        <v>0.5</v>
      </c>
    </row>
    <row r="76" spans="1:14" s="292" customFormat="1" ht="24.95" customHeight="1">
      <c r="A76" s="289" t="s">
        <v>1046</v>
      </c>
      <c r="B76" s="293" t="s">
        <v>1047</v>
      </c>
      <c r="C76" s="294" t="s">
        <v>66</v>
      </c>
      <c r="D76" s="294" t="s">
        <v>120</v>
      </c>
      <c r="E76" s="294"/>
      <c r="F76" s="547">
        <f>3756.62*N76</f>
        <v>1878.31</v>
      </c>
      <c r="G76" s="308">
        <f t="shared" si="1"/>
        <v>2104.31</v>
      </c>
      <c r="H76" s="296" t="s">
        <v>1036</v>
      </c>
      <c r="I76" s="296" t="s">
        <v>133</v>
      </c>
      <c r="J76" s="297">
        <v>250</v>
      </c>
      <c r="K76" s="298">
        <f t="shared" si="4"/>
        <v>45809</v>
      </c>
      <c r="L76" s="299"/>
      <c r="M76" s="299">
        <v>226</v>
      </c>
      <c r="N76" s="299">
        <f t="shared" si="5"/>
        <v>0.5</v>
      </c>
    </row>
    <row r="77" spans="1:14" s="292" customFormat="1" ht="24.95" customHeight="1">
      <c r="A77" s="289" t="s">
        <v>1046</v>
      </c>
      <c r="B77" s="293" t="s">
        <v>1047</v>
      </c>
      <c r="C77" s="294" t="s">
        <v>121</v>
      </c>
      <c r="D77" s="294"/>
      <c r="E77" s="294"/>
      <c r="F77" s="547">
        <f>9137.34*N77</f>
        <v>4568.67</v>
      </c>
      <c r="G77" s="308">
        <f t="shared" si="1"/>
        <v>4908.67</v>
      </c>
      <c r="H77" s="296" t="s">
        <v>1036</v>
      </c>
      <c r="I77" s="296" t="s">
        <v>133</v>
      </c>
      <c r="J77" s="297">
        <v>325</v>
      </c>
      <c r="K77" s="298">
        <f t="shared" si="4"/>
        <v>45809</v>
      </c>
      <c r="L77" s="299"/>
      <c r="M77" s="299">
        <v>340</v>
      </c>
      <c r="N77" s="299">
        <f t="shared" si="5"/>
        <v>0.5</v>
      </c>
    </row>
    <row r="78" spans="1:14" s="292" customFormat="1" ht="24.95" customHeight="1">
      <c r="A78" s="289" t="s">
        <v>1046</v>
      </c>
      <c r="B78" s="293" t="s">
        <v>1047</v>
      </c>
      <c r="C78" s="294" t="s">
        <v>122</v>
      </c>
      <c r="D78" s="294"/>
      <c r="E78" s="294"/>
      <c r="F78" s="547">
        <f>14269.38*N78</f>
        <v>7134.69</v>
      </c>
      <c r="G78" s="308">
        <f t="shared" si="1"/>
        <v>7638.69</v>
      </c>
      <c r="H78" s="296" t="s">
        <v>1036</v>
      </c>
      <c r="I78" s="296" t="s">
        <v>133</v>
      </c>
      <c r="J78" s="297">
        <v>400</v>
      </c>
      <c r="K78" s="298">
        <f t="shared" si="4"/>
        <v>45809</v>
      </c>
      <c r="L78" s="299"/>
      <c r="M78" s="299">
        <v>504</v>
      </c>
      <c r="N78" s="299">
        <f t="shared" si="5"/>
        <v>0.5</v>
      </c>
    </row>
    <row r="79" spans="1:14" s="292" customFormat="1" ht="24.95" customHeight="1">
      <c r="A79" s="289" t="s">
        <v>1046</v>
      </c>
      <c r="B79" s="293" t="s">
        <v>1047</v>
      </c>
      <c r="C79" s="294" t="s">
        <v>156</v>
      </c>
      <c r="D79" s="294"/>
      <c r="E79" s="294"/>
      <c r="F79" s="547">
        <f>16066.92*N79</f>
        <v>8033.46</v>
      </c>
      <c r="G79" s="308">
        <f t="shared" si="1"/>
        <v>8717.4599999999991</v>
      </c>
      <c r="H79" s="296" t="s">
        <v>1036</v>
      </c>
      <c r="I79" s="296" t="s">
        <v>133</v>
      </c>
      <c r="J79" s="297"/>
      <c r="K79" s="298"/>
      <c r="L79" s="299"/>
      <c r="M79" s="299">
        <v>684</v>
      </c>
      <c r="N79" s="299">
        <f t="shared" si="5"/>
        <v>0.5</v>
      </c>
    </row>
    <row r="80" spans="1:14" s="292" customFormat="1" ht="24.95" customHeight="1">
      <c r="A80" s="289" t="s">
        <v>1046</v>
      </c>
      <c r="B80" s="293" t="s">
        <v>1047</v>
      </c>
      <c r="C80" s="294" t="s">
        <v>158</v>
      </c>
      <c r="D80" s="294"/>
      <c r="E80" s="294"/>
      <c r="F80" s="547">
        <f>28325.83*N80</f>
        <v>14162.915000000001</v>
      </c>
      <c r="G80" s="308">
        <f t="shared" si="1"/>
        <v>15308.915000000001</v>
      </c>
      <c r="H80" s="296" t="s">
        <v>1036</v>
      </c>
      <c r="I80" s="296" t="s">
        <v>133</v>
      </c>
      <c r="J80" s="297"/>
      <c r="K80" s="298"/>
      <c r="L80" s="299"/>
      <c r="M80" s="299">
        <v>1146</v>
      </c>
      <c r="N80" s="299">
        <f t="shared" si="5"/>
        <v>0.5</v>
      </c>
    </row>
    <row r="81" spans="1:14" s="292" customFormat="1" ht="24.95" customHeight="1">
      <c r="A81" s="289" t="s">
        <v>1046</v>
      </c>
      <c r="B81" s="293"/>
      <c r="C81" s="294"/>
      <c r="D81" s="294"/>
      <c r="E81" s="294"/>
      <c r="F81" s="547"/>
      <c r="G81" s="308">
        <f t="shared" si="1"/>
        <v>0</v>
      </c>
      <c r="H81" s="296"/>
      <c r="I81" s="296"/>
      <c r="J81" s="297"/>
      <c r="K81" s="298"/>
      <c r="L81" s="299"/>
      <c r="M81" s="299"/>
      <c r="N81" s="299"/>
    </row>
    <row r="82" spans="1:14" s="292" customFormat="1" ht="24.95" customHeight="1">
      <c r="A82" s="289" t="s">
        <v>1032</v>
      </c>
      <c r="B82" s="290"/>
      <c r="C82" s="290"/>
      <c r="D82" s="290"/>
      <c r="E82" s="290"/>
      <c r="F82" s="290"/>
      <c r="G82" s="302"/>
      <c r="H82" s="290"/>
      <c r="I82" s="290"/>
      <c r="J82" s="544"/>
      <c r="K82" s="290"/>
      <c r="L82" s="307"/>
      <c r="M82" s="307"/>
      <c r="N82" s="290"/>
    </row>
    <row r="83" spans="1:14" s="292" customFormat="1" ht="24.95" customHeight="1">
      <c r="A83" s="289" t="s">
        <v>1032</v>
      </c>
      <c r="B83" s="293" t="s">
        <v>135</v>
      </c>
      <c r="C83" s="309" t="s">
        <v>47</v>
      </c>
      <c r="D83" s="299"/>
      <c r="E83" s="299"/>
      <c r="F83" s="547">
        <f>358.4+127.4+100.8+104.3</f>
        <v>690.89999999999986</v>
      </c>
      <c r="G83" s="308">
        <f t="shared" si="1"/>
        <v>690.89999999999986</v>
      </c>
      <c r="H83" s="296" t="s">
        <v>1048</v>
      </c>
      <c r="I83" s="296" t="s">
        <v>137</v>
      </c>
      <c r="J83" s="297"/>
      <c r="K83" s="298">
        <f>K78</f>
        <v>45809</v>
      </c>
      <c r="L83" s="299"/>
      <c r="M83" s="299"/>
      <c r="N83" s="299"/>
    </row>
    <row r="84" spans="1:14" s="292" customFormat="1" ht="24.95" customHeight="1">
      <c r="A84" s="289" t="s">
        <v>1032</v>
      </c>
      <c r="B84" s="293" t="s">
        <v>135</v>
      </c>
      <c r="C84" s="309" t="s">
        <v>49</v>
      </c>
      <c r="D84" s="299"/>
      <c r="E84" s="299"/>
      <c r="F84" s="547">
        <f>387.1+171.5+100.8+104.3</f>
        <v>763.69999999999993</v>
      </c>
      <c r="G84" s="308">
        <f t="shared" si="1"/>
        <v>763.69999999999993</v>
      </c>
      <c r="H84" s="296" t="s">
        <v>1048</v>
      </c>
      <c r="I84" s="296" t="s">
        <v>137</v>
      </c>
      <c r="J84" s="297"/>
      <c r="K84" s="298">
        <f t="shared" si="4"/>
        <v>45809</v>
      </c>
      <c r="L84" s="299"/>
      <c r="M84" s="299"/>
      <c r="N84" s="299"/>
    </row>
    <row r="85" spans="1:14" s="292" customFormat="1" ht="24.95" customHeight="1">
      <c r="A85" s="289" t="s">
        <v>1032</v>
      </c>
      <c r="B85" s="293" t="s">
        <v>135</v>
      </c>
      <c r="C85" s="309" t="s">
        <v>47</v>
      </c>
      <c r="D85" s="299"/>
      <c r="E85" s="299"/>
      <c r="F85" s="547">
        <f>427.11</f>
        <v>427.11</v>
      </c>
      <c r="G85" s="308">
        <f t="shared" si="1"/>
        <v>427.11</v>
      </c>
      <c r="H85" s="305" t="s">
        <v>138</v>
      </c>
      <c r="I85" s="306" t="s">
        <v>139</v>
      </c>
      <c r="J85" s="297">
        <v>40</v>
      </c>
      <c r="K85" s="298">
        <f t="shared" si="4"/>
        <v>45809</v>
      </c>
      <c r="L85" s="299"/>
      <c r="M85" s="299"/>
      <c r="N85" s="299"/>
    </row>
    <row r="86" spans="1:14" s="292" customFormat="1" ht="24.95" customHeight="1">
      <c r="A86" s="289" t="s">
        <v>1032</v>
      </c>
      <c r="B86" s="293" t="s">
        <v>135</v>
      </c>
      <c r="C86" s="309" t="s">
        <v>49</v>
      </c>
      <c r="D86" s="299"/>
      <c r="E86" s="299"/>
      <c r="F86" s="547">
        <f>462.11</f>
        <v>462.11</v>
      </c>
      <c r="G86" s="308">
        <f t="shared" si="1"/>
        <v>462.11</v>
      </c>
      <c r="H86" s="305" t="s">
        <v>138</v>
      </c>
      <c r="I86" s="306" t="s">
        <v>139</v>
      </c>
      <c r="J86" s="297">
        <v>50</v>
      </c>
      <c r="K86" s="298">
        <f t="shared" si="4"/>
        <v>45809</v>
      </c>
      <c r="L86" s="299"/>
      <c r="M86" s="299"/>
      <c r="N86" s="299"/>
    </row>
    <row r="87" spans="1:14" s="292" customFormat="1" ht="24.95" customHeight="1">
      <c r="A87" s="289" t="s">
        <v>1032</v>
      </c>
      <c r="B87" s="290"/>
      <c r="C87" s="290"/>
      <c r="D87" s="290"/>
      <c r="E87" s="290"/>
      <c r="F87" s="290"/>
      <c r="G87" s="302"/>
      <c r="H87" s="290"/>
      <c r="I87" s="290"/>
      <c r="J87" s="544"/>
      <c r="K87" s="290"/>
      <c r="L87" s="307"/>
      <c r="M87" s="307"/>
      <c r="N87" s="290"/>
    </row>
    <row r="88" spans="1:14" s="292" customFormat="1" ht="24.95" customHeight="1">
      <c r="A88" s="289" t="s">
        <v>1032</v>
      </c>
      <c r="B88" s="293" t="s">
        <v>140</v>
      </c>
      <c r="C88" s="309" t="s">
        <v>141</v>
      </c>
      <c r="D88" s="299"/>
      <c r="E88" s="299"/>
      <c r="F88" s="547">
        <v>33.21</v>
      </c>
      <c r="G88" s="308">
        <f t="shared" si="1"/>
        <v>33.21</v>
      </c>
      <c r="H88" s="296" t="s">
        <v>1033</v>
      </c>
      <c r="I88" s="296" t="s">
        <v>142</v>
      </c>
      <c r="J88" s="297">
        <v>25</v>
      </c>
      <c r="K88" s="298">
        <v>45809</v>
      </c>
      <c r="L88" s="299"/>
      <c r="M88" s="299"/>
      <c r="N88" s="299"/>
    </row>
    <row r="89" spans="1:14" s="292" customFormat="1" ht="24.95" customHeight="1">
      <c r="A89" s="289" t="s">
        <v>1032</v>
      </c>
      <c r="B89" s="293" t="s">
        <v>1049</v>
      </c>
      <c r="C89" s="309" t="s">
        <v>47</v>
      </c>
      <c r="D89" s="299"/>
      <c r="E89" s="299"/>
      <c r="F89" s="547">
        <f>42.6*0.7+327.19*0.5</f>
        <v>193.41499999999999</v>
      </c>
      <c r="G89" s="308">
        <f t="shared" si="1"/>
        <v>193.41499999999999</v>
      </c>
      <c r="H89" s="306" t="s">
        <v>1033</v>
      </c>
      <c r="I89" s="306" t="s">
        <v>145</v>
      </c>
      <c r="J89" s="297">
        <v>40</v>
      </c>
      <c r="K89" s="298">
        <f t="shared" si="4"/>
        <v>45809</v>
      </c>
      <c r="L89" s="299"/>
      <c r="M89" s="299"/>
      <c r="N89" s="299"/>
    </row>
    <row r="90" spans="1:14" s="292" customFormat="1" ht="24.95" customHeight="1">
      <c r="A90" s="289" t="s">
        <v>1032</v>
      </c>
      <c r="B90" s="293" t="s">
        <v>1049</v>
      </c>
      <c r="C90" s="309" t="s">
        <v>49</v>
      </c>
      <c r="D90" s="299"/>
      <c r="E90" s="299"/>
      <c r="F90" s="547">
        <f>55.4*0.7+327.19*0.5</f>
        <v>202.375</v>
      </c>
      <c r="G90" s="308">
        <f t="shared" si="1"/>
        <v>202.375</v>
      </c>
      <c r="H90" s="306" t="s">
        <v>1033</v>
      </c>
      <c r="I90" s="306" t="s">
        <v>145</v>
      </c>
      <c r="J90" s="297">
        <v>50</v>
      </c>
      <c r="K90" s="298">
        <f t="shared" si="4"/>
        <v>45809</v>
      </c>
      <c r="L90" s="299"/>
      <c r="M90" s="299"/>
      <c r="N90" s="299"/>
    </row>
    <row r="91" spans="1:14" s="292" customFormat="1" ht="24.95" customHeight="1">
      <c r="A91" s="289" t="s">
        <v>1032</v>
      </c>
      <c r="B91" s="293" t="s">
        <v>1049</v>
      </c>
      <c r="C91" s="309" t="s">
        <v>51</v>
      </c>
      <c r="D91" s="299"/>
      <c r="E91" s="299"/>
      <c r="F91" s="547">
        <f>87*0.7+327.19*0.5</f>
        <v>224.495</v>
      </c>
      <c r="G91" s="308">
        <f t="shared" si="1"/>
        <v>224.495</v>
      </c>
      <c r="H91" s="306" t="s">
        <v>1033</v>
      </c>
      <c r="I91" s="306" t="s">
        <v>145</v>
      </c>
      <c r="J91" s="297">
        <v>55</v>
      </c>
      <c r="K91" s="298">
        <f t="shared" si="4"/>
        <v>45809</v>
      </c>
      <c r="L91" s="299"/>
      <c r="M91" s="299"/>
      <c r="N91" s="299"/>
    </row>
    <row r="92" spans="1:14" s="292" customFormat="1" ht="24.95" customHeight="1">
      <c r="A92" s="289" t="s">
        <v>1032</v>
      </c>
      <c r="B92" s="293" t="s">
        <v>1049</v>
      </c>
      <c r="C92" s="309" t="s">
        <v>47</v>
      </c>
      <c r="D92" s="299"/>
      <c r="E92" s="299"/>
      <c r="F92" s="547">
        <f>73.99*0.7+327.19*0.5</f>
        <v>215.38799999999998</v>
      </c>
      <c r="G92" s="308">
        <f t="shared" si="1"/>
        <v>215.38799999999998</v>
      </c>
      <c r="H92" s="305" t="s">
        <v>146</v>
      </c>
      <c r="I92" s="305"/>
      <c r="J92" s="297">
        <v>40</v>
      </c>
      <c r="K92" s="298">
        <f t="shared" si="4"/>
        <v>45809</v>
      </c>
      <c r="L92" s="299"/>
      <c r="M92" s="299"/>
      <c r="N92" s="299"/>
    </row>
    <row r="93" spans="1:14" s="292" customFormat="1" ht="24.95" customHeight="1">
      <c r="A93" s="289" t="s">
        <v>1032</v>
      </c>
      <c r="B93" s="293" t="s">
        <v>1049</v>
      </c>
      <c r="C93" s="309" t="s">
        <v>49</v>
      </c>
      <c r="D93" s="299"/>
      <c r="E93" s="299"/>
      <c r="F93" s="547">
        <f>327.46*0.7+327.19*0.5</f>
        <v>392.81700000000001</v>
      </c>
      <c r="G93" s="308">
        <f t="shared" si="1"/>
        <v>392.81700000000001</v>
      </c>
      <c r="H93" s="306" t="s">
        <v>1050</v>
      </c>
      <c r="I93" s="305"/>
      <c r="J93" s="297">
        <v>50</v>
      </c>
      <c r="K93" s="298">
        <f t="shared" si="4"/>
        <v>45809</v>
      </c>
      <c r="L93" s="299"/>
      <c r="M93" s="299"/>
      <c r="N93" s="299"/>
    </row>
    <row r="94" spans="1:14" s="292" customFormat="1" ht="24.95" customHeight="1">
      <c r="A94" s="289" t="s">
        <v>1032</v>
      </c>
      <c r="B94" s="293" t="s">
        <v>147</v>
      </c>
      <c r="C94" s="309" t="s">
        <v>47</v>
      </c>
      <c r="D94" s="299"/>
      <c r="E94" s="299"/>
      <c r="F94" s="547">
        <f>495.3</f>
        <v>495.3</v>
      </c>
      <c r="G94" s="308">
        <f t="shared" si="1"/>
        <v>495.3</v>
      </c>
      <c r="H94" s="305" t="s">
        <v>1051</v>
      </c>
      <c r="I94" s="306" t="s">
        <v>148</v>
      </c>
      <c r="J94" s="297">
        <v>50</v>
      </c>
      <c r="K94" s="298">
        <f t="shared" si="4"/>
        <v>45809</v>
      </c>
      <c r="L94" s="299"/>
      <c r="M94" s="299"/>
      <c r="N94" s="299"/>
    </row>
    <row r="95" spans="1:14" s="292" customFormat="1" ht="24.95" customHeight="1">
      <c r="A95" s="301"/>
      <c r="B95" s="310"/>
      <c r="C95" s="311"/>
      <c r="D95" s="302"/>
      <c r="E95" s="302"/>
      <c r="F95" s="548"/>
      <c r="G95" s="302"/>
      <c r="H95" s="312"/>
      <c r="I95" s="313"/>
      <c r="J95" s="314"/>
      <c r="K95" s="315"/>
      <c r="L95" s="302"/>
      <c r="M95" s="302"/>
      <c r="N95" s="290"/>
    </row>
    <row r="96" spans="1:14" s="292" customFormat="1" ht="24.95" customHeight="1">
      <c r="A96" s="289" t="s">
        <v>1046</v>
      </c>
      <c r="B96" s="293" t="s">
        <v>1052</v>
      </c>
      <c r="C96" s="294" t="s">
        <v>47</v>
      </c>
      <c r="D96" s="299" t="s">
        <v>99</v>
      </c>
      <c r="E96" s="316" t="s">
        <v>22</v>
      </c>
      <c r="F96" s="547">
        <f>79.22*N96</f>
        <v>39.61</v>
      </c>
      <c r="G96" s="317">
        <f t="shared" ref="G96:G110" si="6">F96+M96</f>
        <v>39.61</v>
      </c>
      <c r="H96" s="318" t="s">
        <v>113</v>
      </c>
      <c r="I96" s="296">
        <v>601</v>
      </c>
      <c r="J96" s="297">
        <v>25</v>
      </c>
      <c r="K96" s="299">
        <v>2025</v>
      </c>
      <c r="L96" s="299"/>
      <c r="M96" s="299"/>
      <c r="N96" s="299">
        <v>0.5</v>
      </c>
    </row>
    <row r="97" spans="1:14" s="292" customFormat="1" ht="24.95" customHeight="1">
      <c r="A97" s="289" t="s">
        <v>1046</v>
      </c>
      <c r="B97" s="293" t="s">
        <v>1052</v>
      </c>
      <c r="C97" s="294" t="s">
        <v>49</v>
      </c>
      <c r="D97" s="299" t="s">
        <v>104</v>
      </c>
      <c r="E97" s="316" t="s">
        <v>24</v>
      </c>
      <c r="F97" s="547">
        <f>96.17*N97</f>
        <v>48.085000000000001</v>
      </c>
      <c r="G97" s="317">
        <f t="shared" si="6"/>
        <v>48.085000000000001</v>
      </c>
      <c r="H97" s="318" t="s">
        <v>113</v>
      </c>
      <c r="I97" s="296">
        <v>601</v>
      </c>
      <c r="J97" s="297">
        <v>30</v>
      </c>
      <c r="K97" s="299">
        <v>2025</v>
      </c>
      <c r="L97" s="299"/>
      <c r="M97" s="299"/>
      <c r="N97" s="299">
        <f>N96</f>
        <v>0.5</v>
      </c>
    </row>
    <row r="98" spans="1:14" s="292" customFormat="1" ht="24.95" customHeight="1">
      <c r="A98" s="289" t="s">
        <v>1046</v>
      </c>
      <c r="B98" s="293" t="s">
        <v>1052</v>
      </c>
      <c r="C98" s="294" t="s">
        <v>51</v>
      </c>
      <c r="D98" s="299" t="s">
        <v>105</v>
      </c>
      <c r="E98" s="316" t="s">
        <v>26</v>
      </c>
      <c r="F98" s="547">
        <f>121.04*N98</f>
        <v>60.52</v>
      </c>
      <c r="G98" s="317">
        <f t="shared" si="6"/>
        <v>60.52</v>
      </c>
      <c r="H98" s="318" t="s">
        <v>113</v>
      </c>
      <c r="I98" s="296">
        <v>601</v>
      </c>
      <c r="J98" s="297">
        <v>35</v>
      </c>
      <c r="K98" s="299">
        <v>2025</v>
      </c>
      <c r="L98" s="299"/>
      <c r="M98" s="299"/>
      <c r="N98" s="299">
        <f t="shared" ref="N98:N110" si="7">N97</f>
        <v>0.5</v>
      </c>
    </row>
    <row r="99" spans="1:14" s="292" customFormat="1" ht="24.95" customHeight="1">
      <c r="A99" s="289" t="s">
        <v>1046</v>
      </c>
      <c r="B99" s="293" t="s">
        <v>1052</v>
      </c>
      <c r="C99" s="294" t="s">
        <v>53</v>
      </c>
      <c r="D99" s="299" t="s">
        <v>106</v>
      </c>
      <c r="E99" s="316" t="s">
        <v>28</v>
      </c>
      <c r="F99" s="547">
        <f>176.57*N99</f>
        <v>88.284999999999997</v>
      </c>
      <c r="G99" s="317">
        <f t="shared" si="6"/>
        <v>88.284999999999997</v>
      </c>
      <c r="H99" s="318" t="s">
        <v>113</v>
      </c>
      <c r="I99" s="296">
        <v>601</v>
      </c>
      <c r="J99" s="297">
        <v>50</v>
      </c>
      <c r="K99" s="299">
        <v>2025</v>
      </c>
      <c r="L99" s="299"/>
      <c r="M99" s="299"/>
      <c r="N99" s="299">
        <f t="shared" si="7"/>
        <v>0.5</v>
      </c>
    </row>
    <row r="100" spans="1:14" s="292" customFormat="1" ht="24.95" customHeight="1">
      <c r="A100" s="289" t="s">
        <v>1046</v>
      </c>
      <c r="B100" s="293" t="s">
        <v>1052</v>
      </c>
      <c r="C100" s="294" t="s">
        <v>55</v>
      </c>
      <c r="D100" s="299" t="s">
        <v>107</v>
      </c>
      <c r="E100" s="316" t="s">
        <v>30</v>
      </c>
      <c r="F100" s="547">
        <f>235.95*N100</f>
        <v>117.97499999999999</v>
      </c>
      <c r="G100" s="317">
        <f t="shared" si="6"/>
        <v>117.97499999999999</v>
      </c>
      <c r="H100" s="318" t="s">
        <v>113</v>
      </c>
      <c r="I100" s="296">
        <v>601</v>
      </c>
      <c r="J100" s="297">
        <v>55</v>
      </c>
      <c r="K100" s="299">
        <v>2025</v>
      </c>
      <c r="L100" s="299"/>
      <c r="M100" s="299"/>
      <c r="N100" s="299">
        <f t="shared" si="7"/>
        <v>0.5</v>
      </c>
    </row>
    <row r="101" spans="1:14" s="292" customFormat="1" ht="24.95" customHeight="1">
      <c r="A101" s="289" t="s">
        <v>1046</v>
      </c>
      <c r="B101" s="293" t="s">
        <v>1052</v>
      </c>
      <c r="C101" s="294" t="s">
        <v>57</v>
      </c>
      <c r="D101" s="299" t="s">
        <v>31</v>
      </c>
      <c r="E101" s="316" t="s">
        <v>32</v>
      </c>
      <c r="F101" s="547">
        <f>362.15*N101</f>
        <v>181.07499999999999</v>
      </c>
      <c r="G101" s="317">
        <f t="shared" si="6"/>
        <v>181.07499999999999</v>
      </c>
      <c r="H101" s="318" t="s">
        <v>113</v>
      </c>
      <c r="I101" s="296">
        <v>601</v>
      </c>
      <c r="J101" s="297">
        <v>75</v>
      </c>
      <c r="K101" s="299">
        <v>2025</v>
      </c>
      <c r="L101" s="299"/>
      <c r="M101" s="299"/>
      <c r="N101" s="299">
        <f t="shared" si="7"/>
        <v>0.5</v>
      </c>
    </row>
    <row r="102" spans="1:14" s="292" customFormat="1" ht="24.95" customHeight="1">
      <c r="A102" s="289" t="s">
        <v>1046</v>
      </c>
      <c r="B102" s="293" t="s">
        <v>1052</v>
      </c>
      <c r="C102" s="294" t="s">
        <v>59</v>
      </c>
      <c r="D102" s="299" t="s">
        <v>1053</v>
      </c>
      <c r="E102" s="316" t="s">
        <v>34</v>
      </c>
      <c r="F102" s="547">
        <f>1345.07*N102</f>
        <v>672.53499999999997</v>
      </c>
      <c r="G102" s="317">
        <f t="shared" si="6"/>
        <v>756.53499999999997</v>
      </c>
      <c r="H102" s="318" t="s">
        <v>113</v>
      </c>
      <c r="I102" s="296">
        <v>402</v>
      </c>
      <c r="J102" s="297">
        <v>120</v>
      </c>
      <c r="K102" s="299">
        <v>2025</v>
      </c>
      <c r="L102" s="299"/>
      <c r="M102" s="299">
        <v>84</v>
      </c>
      <c r="N102" s="299">
        <f t="shared" si="7"/>
        <v>0.5</v>
      </c>
    </row>
    <row r="103" spans="1:14" s="292" customFormat="1" ht="24.95" customHeight="1">
      <c r="A103" s="289" t="s">
        <v>1046</v>
      </c>
      <c r="B103" s="293" t="s">
        <v>1052</v>
      </c>
      <c r="C103" s="294" t="s">
        <v>60</v>
      </c>
      <c r="D103" s="299" t="s">
        <v>1054</v>
      </c>
      <c r="E103" s="316" t="s">
        <v>36</v>
      </c>
      <c r="F103" s="547">
        <f>2018.05*N103</f>
        <v>1009.025</v>
      </c>
      <c r="G103" s="317">
        <f t="shared" si="6"/>
        <v>1115.0250000000001</v>
      </c>
      <c r="H103" s="318" t="s">
        <v>113</v>
      </c>
      <c r="I103" s="296">
        <v>402</v>
      </c>
      <c r="J103" s="297">
        <v>150</v>
      </c>
      <c r="K103" s="299">
        <v>2025</v>
      </c>
      <c r="L103" s="299"/>
      <c r="M103" s="299">
        <v>106</v>
      </c>
      <c r="N103" s="299">
        <f t="shared" si="7"/>
        <v>0.5</v>
      </c>
    </row>
    <row r="104" spans="1:14" s="292" customFormat="1" ht="24.95" customHeight="1">
      <c r="A104" s="289" t="s">
        <v>1046</v>
      </c>
      <c r="B104" s="293" t="s">
        <v>1052</v>
      </c>
      <c r="C104" s="294" t="s">
        <v>62</v>
      </c>
      <c r="D104" s="319" t="s">
        <v>210</v>
      </c>
      <c r="E104" s="316" t="s">
        <v>38</v>
      </c>
      <c r="F104" s="547">
        <f>2807.6*N104</f>
        <v>1403.8</v>
      </c>
      <c r="G104" s="317">
        <f t="shared" si="6"/>
        <v>1529.8</v>
      </c>
      <c r="H104" s="318" t="s">
        <v>113</v>
      </c>
      <c r="I104" s="296">
        <v>402</v>
      </c>
      <c r="J104" s="297">
        <v>162</v>
      </c>
      <c r="K104" s="299">
        <v>2025</v>
      </c>
      <c r="L104" s="299"/>
      <c r="M104" s="299">
        <v>126</v>
      </c>
      <c r="N104" s="299">
        <f t="shared" si="7"/>
        <v>0.5</v>
      </c>
    </row>
    <row r="105" spans="1:14" s="292" customFormat="1" ht="24.95" customHeight="1">
      <c r="A105" s="289" t="s">
        <v>1046</v>
      </c>
      <c r="B105" s="293" t="s">
        <v>1052</v>
      </c>
      <c r="C105" s="294" t="s">
        <v>63</v>
      </c>
      <c r="D105" s="294" t="s">
        <v>64</v>
      </c>
      <c r="E105" s="316">
        <v>5</v>
      </c>
      <c r="F105" s="547">
        <f>4827.72*N105</f>
        <v>2413.86</v>
      </c>
      <c r="G105" s="317">
        <f t="shared" si="6"/>
        <v>2617.86</v>
      </c>
      <c r="H105" s="318" t="s">
        <v>113</v>
      </c>
      <c r="I105" s="296">
        <v>402</v>
      </c>
      <c r="J105" s="297">
        <v>200</v>
      </c>
      <c r="K105" s="299">
        <v>2025</v>
      </c>
      <c r="L105" s="299"/>
      <c r="M105" s="299">
        <v>204</v>
      </c>
      <c r="N105" s="299">
        <f t="shared" si="7"/>
        <v>0.5</v>
      </c>
    </row>
    <row r="106" spans="1:14" s="292" customFormat="1" ht="24.95" customHeight="1">
      <c r="A106" s="289" t="s">
        <v>1046</v>
      </c>
      <c r="B106" s="293" t="s">
        <v>1052</v>
      </c>
      <c r="C106" s="294" t="s">
        <v>66</v>
      </c>
      <c r="D106" s="294" t="s">
        <v>120</v>
      </c>
      <c r="E106" s="316">
        <v>6</v>
      </c>
      <c r="F106" s="547">
        <f>6054.51*N106</f>
        <v>3027.2550000000001</v>
      </c>
      <c r="G106" s="317">
        <f t="shared" si="6"/>
        <v>3253.2550000000001</v>
      </c>
      <c r="H106" s="318" t="s">
        <v>113</v>
      </c>
      <c r="I106" s="296">
        <v>402</v>
      </c>
      <c r="J106" s="297">
        <v>250</v>
      </c>
      <c r="K106" s="299">
        <v>2025</v>
      </c>
      <c r="L106" s="299"/>
      <c r="M106" s="299">
        <v>226</v>
      </c>
      <c r="N106" s="299">
        <f t="shared" si="7"/>
        <v>0.5</v>
      </c>
    </row>
    <row r="107" spans="1:14" s="292" customFormat="1" ht="24.95" customHeight="1">
      <c r="A107" s="289" t="s">
        <v>1046</v>
      </c>
      <c r="B107" s="293" t="s">
        <v>1052</v>
      </c>
      <c r="C107" s="294" t="s">
        <v>121</v>
      </c>
      <c r="D107" s="294" t="s">
        <v>154</v>
      </c>
      <c r="E107" s="316">
        <v>8</v>
      </c>
      <c r="F107" s="547">
        <f>9657.09*N107</f>
        <v>4828.5450000000001</v>
      </c>
      <c r="G107" s="317">
        <f t="shared" si="6"/>
        <v>5168.5450000000001</v>
      </c>
      <c r="H107" s="318" t="s">
        <v>113</v>
      </c>
      <c r="I107" s="296">
        <v>402</v>
      </c>
      <c r="J107" s="297">
        <v>325</v>
      </c>
      <c r="K107" s="299">
        <v>2025</v>
      </c>
      <c r="L107" s="299"/>
      <c r="M107" s="299">
        <v>340</v>
      </c>
      <c r="N107" s="299">
        <f t="shared" si="7"/>
        <v>0.5</v>
      </c>
    </row>
    <row r="108" spans="1:14" s="292" customFormat="1" ht="24.95" customHeight="1">
      <c r="A108" s="289" t="s">
        <v>1046</v>
      </c>
      <c r="B108" s="293" t="s">
        <v>1052</v>
      </c>
      <c r="C108" s="294" t="s">
        <v>122</v>
      </c>
      <c r="D108" s="294" t="s">
        <v>155</v>
      </c>
      <c r="E108" s="316">
        <v>10</v>
      </c>
      <c r="F108" s="547">
        <f>14293.57*N108</f>
        <v>7146.7849999999999</v>
      </c>
      <c r="G108" s="317">
        <f t="shared" si="6"/>
        <v>7650.7849999999999</v>
      </c>
      <c r="H108" s="318" t="s">
        <v>113</v>
      </c>
      <c r="I108" s="296">
        <v>402</v>
      </c>
      <c r="J108" s="297">
        <v>400</v>
      </c>
      <c r="K108" s="299">
        <v>2025</v>
      </c>
      <c r="L108" s="299"/>
      <c r="M108" s="299">
        <v>504</v>
      </c>
      <c r="N108" s="299">
        <f t="shared" si="7"/>
        <v>0.5</v>
      </c>
    </row>
    <row r="109" spans="1:14" s="292" customFormat="1" ht="24.95" customHeight="1">
      <c r="A109" s="289" t="s">
        <v>1046</v>
      </c>
      <c r="B109" s="293" t="s">
        <v>1052</v>
      </c>
      <c r="C109" s="294" t="s">
        <v>156</v>
      </c>
      <c r="D109" s="294" t="s">
        <v>157</v>
      </c>
      <c r="E109" s="316">
        <v>12</v>
      </c>
      <c r="F109" s="547">
        <f>21400.72*N109</f>
        <v>10700.36</v>
      </c>
      <c r="G109" s="317">
        <f t="shared" si="6"/>
        <v>11384.36</v>
      </c>
      <c r="H109" s="318" t="s">
        <v>113</v>
      </c>
      <c r="I109" s="296">
        <v>402</v>
      </c>
      <c r="J109" s="297">
        <v>487</v>
      </c>
      <c r="K109" s="299">
        <v>2025</v>
      </c>
      <c r="L109" s="299"/>
      <c r="M109" s="299">
        <v>684</v>
      </c>
      <c r="N109" s="299">
        <f t="shared" si="7"/>
        <v>0.5</v>
      </c>
    </row>
    <row r="110" spans="1:14" s="292" customFormat="1" ht="24.95" customHeight="1">
      <c r="A110" s="289" t="s">
        <v>1046</v>
      </c>
      <c r="B110" s="293" t="s">
        <v>1052</v>
      </c>
      <c r="C110" s="294" t="s">
        <v>158</v>
      </c>
      <c r="D110" s="294" t="s">
        <v>159</v>
      </c>
      <c r="E110" s="316">
        <v>14</v>
      </c>
      <c r="F110" s="547">
        <f>41601.6*N110</f>
        <v>20800.8</v>
      </c>
      <c r="G110" s="317">
        <f t="shared" si="6"/>
        <v>21946.799999999999</v>
      </c>
      <c r="H110" s="318" t="s">
        <v>113</v>
      </c>
      <c r="I110" s="296">
        <v>402</v>
      </c>
      <c r="J110" s="297">
        <v>562</v>
      </c>
      <c r="K110" s="299">
        <v>2025</v>
      </c>
      <c r="L110" s="299"/>
      <c r="M110" s="299">
        <v>1146</v>
      </c>
      <c r="N110" s="299">
        <f t="shared" si="7"/>
        <v>0.5</v>
      </c>
    </row>
    <row r="111" spans="1:14" s="292" customFormat="1" ht="24.95" customHeight="1">
      <c r="A111" s="301"/>
      <c r="B111" s="302"/>
      <c r="C111" s="302"/>
      <c r="D111" s="302"/>
      <c r="E111" s="302"/>
      <c r="F111" s="546"/>
      <c r="G111" s="302"/>
      <c r="H111" s="302"/>
      <c r="I111" s="302"/>
      <c r="J111" s="302"/>
      <c r="K111" s="302"/>
      <c r="L111" s="302"/>
      <c r="M111" s="302"/>
      <c r="N111" s="290"/>
    </row>
    <row r="112" spans="1:14" s="292" customFormat="1" ht="24.95" customHeight="1">
      <c r="A112" s="289" t="s">
        <v>1046</v>
      </c>
      <c r="B112" s="293" t="s">
        <v>173</v>
      </c>
      <c r="C112" s="294" t="s">
        <v>57</v>
      </c>
      <c r="D112" s="299" t="s">
        <v>31</v>
      </c>
      <c r="E112" s="316" t="s">
        <v>32</v>
      </c>
      <c r="F112" s="549">
        <f>680.19*N112</f>
        <v>340.09500000000003</v>
      </c>
      <c r="G112" s="317">
        <f>F112+M112</f>
        <v>340.09500000000003</v>
      </c>
      <c r="H112" s="318" t="s">
        <v>113</v>
      </c>
      <c r="I112" s="296" t="s">
        <v>174</v>
      </c>
      <c r="J112" s="297">
        <v>75</v>
      </c>
      <c r="K112" s="299">
        <v>2025</v>
      </c>
      <c r="L112" s="299"/>
      <c r="M112" s="299"/>
      <c r="N112" s="299">
        <f>N110</f>
        <v>0.5</v>
      </c>
    </row>
    <row r="113" spans="1:14" s="292" customFormat="1" ht="24.95" customHeight="1">
      <c r="A113" s="289" t="s">
        <v>1046</v>
      </c>
      <c r="B113" s="293" t="s">
        <v>173</v>
      </c>
      <c r="C113" s="294" t="s">
        <v>59</v>
      </c>
      <c r="D113" s="299" t="s">
        <v>1053</v>
      </c>
      <c r="E113" s="316" t="s">
        <v>34</v>
      </c>
      <c r="F113" s="549">
        <f>735.82*N113</f>
        <v>367.91</v>
      </c>
      <c r="G113" s="317">
        <f t="shared" ref="G113:G123" si="8">F113+M113</f>
        <v>451.91</v>
      </c>
      <c r="H113" s="318" t="s">
        <v>113</v>
      </c>
      <c r="I113" s="296" t="s">
        <v>174</v>
      </c>
      <c r="J113" s="297">
        <v>120</v>
      </c>
      <c r="K113" s="299">
        <v>2025</v>
      </c>
      <c r="L113" s="299"/>
      <c r="M113" s="299">
        <v>84</v>
      </c>
      <c r="N113" s="299">
        <f>N112</f>
        <v>0.5</v>
      </c>
    </row>
    <row r="114" spans="1:14" s="292" customFormat="1" ht="24.95" customHeight="1">
      <c r="A114" s="289" t="s">
        <v>1046</v>
      </c>
      <c r="B114" s="293" t="s">
        <v>173</v>
      </c>
      <c r="C114" s="294" t="s">
        <v>60</v>
      </c>
      <c r="D114" s="299" t="s">
        <v>1054</v>
      </c>
      <c r="E114" s="316" t="s">
        <v>36</v>
      </c>
      <c r="F114" s="549">
        <f>840.9*N114</f>
        <v>420.45</v>
      </c>
      <c r="G114" s="317">
        <f t="shared" si="8"/>
        <v>526.45000000000005</v>
      </c>
      <c r="H114" s="318" t="s">
        <v>113</v>
      </c>
      <c r="I114" s="296" t="s">
        <v>174</v>
      </c>
      <c r="J114" s="297">
        <v>150</v>
      </c>
      <c r="K114" s="299">
        <v>2025</v>
      </c>
      <c r="L114" s="299"/>
      <c r="M114" s="299">
        <v>106</v>
      </c>
      <c r="N114" s="299">
        <f t="shared" ref="N114:N123" si="9">N113</f>
        <v>0.5</v>
      </c>
    </row>
    <row r="115" spans="1:14" s="292" customFormat="1" ht="24.95" customHeight="1">
      <c r="A115" s="289" t="s">
        <v>1046</v>
      </c>
      <c r="B115" s="293" t="s">
        <v>173</v>
      </c>
      <c r="C115" s="294" t="s">
        <v>62</v>
      </c>
      <c r="D115" s="319" t="s">
        <v>210</v>
      </c>
      <c r="E115" s="316" t="s">
        <v>38</v>
      </c>
      <c r="F115" s="549">
        <f>1023.37*N115</f>
        <v>511.685</v>
      </c>
      <c r="G115" s="317">
        <f t="shared" si="8"/>
        <v>637.68499999999995</v>
      </c>
      <c r="H115" s="318" t="s">
        <v>113</v>
      </c>
      <c r="I115" s="296" t="s">
        <v>174</v>
      </c>
      <c r="J115" s="297">
        <v>162</v>
      </c>
      <c r="K115" s="299">
        <v>2025</v>
      </c>
      <c r="L115" s="299"/>
      <c r="M115" s="299">
        <v>126</v>
      </c>
      <c r="N115" s="299">
        <f t="shared" si="9"/>
        <v>0.5</v>
      </c>
    </row>
    <row r="116" spans="1:14" s="292" customFormat="1" ht="24.95" customHeight="1">
      <c r="A116" s="289" t="s">
        <v>1046</v>
      </c>
      <c r="B116" s="293" t="s">
        <v>173</v>
      </c>
      <c r="C116" s="294" t="s">
        <v>63</v>
      </c>
      <c r="D116" s="319" t="s">
        <v>168</v>
      </c>
      <c r="E116" s="316">
        <v>5</v>
      </c>
      <c r="F116" s="549">
        <f>1199.84*N116</f>
        <v>599.91999999999996</v>
      </c>
      <c r="G116" s="317">
        <f t="shared" si="8"/>
        <v>803.92</v>
      </c>
      <c r="H116" s="318" t="s">
        <v>113</v>
      </c>
      <c r="I116" s="296" t="s">
        <v>174</v>
      </c>
      <c r="J116" s="297">
        <v>200</v>
      </c>
      <c r="K116" s="299">
        <v>2025</v>
      </c>
      <c r="L116" s="299"/>
      <c r="M116" s="299">
        <v>204</v>
      </c>
      <c r="N116" s="299">
        <f t="shared" si="9"/>
        <v>0.5</v>
      </c>
    </row>
    <row r="117" spans="1:14" s="292" customFormat="1" ht="24.95" customHeight="1">
      <c r="A117" s="289" t="s">
        <v>1046</v>
      </c>
      <c r="B117" s="293" t="s">
        <v>173</v>
      </c>
      <c r="C117" s="294" t="s">
        <v>66</v>
      </c>
      <c r="D117" s="319" t="s">
        <v>169</v>
      </c>
      <c r="E117" s="316">
        <v>6</v>
      </c>
      <c r="F117" s="549">
        <f>1356.5*N117</f>
        <v>678.25</v>
      </c>
      <c r="G117" s="317">
        <f t="shared" si="8"/>
        <v>904.25</v>
      </c>
      <c r="H117" s="318" t="s">
        <v>113</v>
      </c>
      <c r="I117" s="296" t="s">
        <v>174</v>
      </c>
      <c r="J117" s="297">
        <v>250</v>
      </c>
      <c r="K117" s="299">
        <v>2025</v>
      </c>
      <c r="L117" s="299"/>
      <c r="M117" s="299">
        <v>226</v>
      </c>
      <c r="N117" s="299">
        <f t="shared" si="9"/>
        <v>0.5</v>
      </c>
    </row>
    <row r="118" spans="1:14" s="292" customFormat="1" ht="24.95" customHeight="1">
      <c r="A118" s="289" t="s">
        <v>1046</v>
      </c>
      <c r="B118" s="293" t="s">
        <v>173</v>
      </c>
      <c r="C118" s="294" t="s">
        <v>121</v>
      </c>
      <c r="D118" s="319" t="s">
        <v>170</v>
      </c>
      <c r="E118" s="316">
        <v>8</v>
      </c>
      <c r="F118" s="549">
        <f>4342.67*N118</f>
        <v>2171.335</v>
      </c>
      <c r="G118" s="317">
        <f t="shared" si="8"/>
        <v>2511.335</v>
      </c>
      <c r="H118" s="318" t="s">
        <v>113</v>
      </c>
      <c r="I118" s="296" t="s">
        <v>174</v>
      </c>
      <c r="J118" s="297">
        <v>325</v>
      </c>
      <c r="K118" s="299">
        <v>2025</v>
      </c>
      <c r="L118" s="299"/>
      <c r="M118" s="299">
        <v>340</v>
      </c>
      <c r="N118" s="299">
        <f t="shared" si="9"/>
        <v>0.5</v>
      </c>
    </row>
    <row r="119" spans="1:14" s="292" customFormat="1" ht="24.95" customHeight="1">
      <c r="A119" s="289" t="s">
        <v>1046</v>
      </c>
      <c r="B119" s="293" t="s">
        <v>173</v>
      </c>
      <c r="C119" s="294" t="s">
        <v>122</v>
      </c>
      <c r="D119" s="319" t="s">
        <v>171</v>
      </c>
      <c r="E119" s="316">
        <v>10</v>
      </c>
      <c r="F119" s="549">
        <f>7007.06*N119</f>
        <v>3503.53</v>
      </c>
      <c r="G119" s="317">
        <f t="shared" si="8"/>
        <v>4007.53</v>
      </c>
      <c r="H119" s="318" t="s">
        <v>113</v>
      </c>
      <c r="I119" s="296" t="s">
        <v>174</v>
      </c>
      <c r="J119" s="297">
        <v>400</v>
      </c>
      <c r="K119" s="299">
        <v>2025</v>
      </c>
      <c r="L119" s="299"/>
      <c r="M119" s="299">
        <v>504</v>
      </c>
      <c r="N119" s="299">
        <f t="shared" si="9"/>
        <v>0.5</v>
      </c>
    </row>
    <row r="120" spans="1:14" s="292" customFormat="1" ht="24.95" customHeight="1">
      <c r="A120" s="289" t="s">
        <v>1046</v>
      </c>
      <c r="B120" s="293" t="s">
        <v>173</v>
      </c>
      <c r="C120" s="294" t="s">
        <v>156</v>
      </c>
      <c r="D120" s="319" t="s">
        <v>172</v>
      </c>
      <c r="E120" s="316">
        <v>12</v>
      </c>
      <c r="F120" s="549">
        <f>8667*N120</f>
        <v>4333.5</v>
      </c>
      <c r="G120" s="317">
        <f t="shared" si="8"/>
        <v>5017.5</v>
      </c>
      <c r="H120" s="318" t="s">
        <v>113</v>
      </c>
      <c r="I120" s="296" t="s">
        <v>174</v>
      </c>
      <c r="J120" s="297">
        <v>487</v>
      </c>
      <c r="K120" s="299">
        <v>2025</v>
      </c>
      <c r="L120" s="299"/>
      <c r="M120" s="299">
        <v>684</v>
      </c>
      <c r="N120" s="299">
        <f t="shared" si="9"/>
        <v>0.5</v>
      </c>
    </row>
    <row r="121" spans="1:14" s="292" customFormat="1" ht="24.95" customHeight="1">
      <c r="A121" s="289" t="s">
        <v>1046</v>
      </c>
      <c r="B121" s="293" t="s">
        <v>173</v>
      </c>
      <c r="C121" s="294" t="s">
        <v>158</v>
      </c>
      <c r="D121" s="319" t="s">
        <v>175</v>
      </c>
      <c r="E121" s="316">
        <v>14</v>
      </c>
      <c r="F121" s="549">
        <f>16268.43*N121</f>
        <v>8134.2150000000001</v>
      </c>
      <c r="G121" s="317">
        <f t="shared" si="8"/>
        <v>9280.2150000000001</v>
      </c>
      <c r="H121" s="318" t="s">
        <v>113</v>
      </c>
      <c r="I121" s="296" t="s">
        <v>174</v>
      </c>
      <c r="J121" s="297">
        <v>562</v>
      </c>
      <c r="K121" s="299">
        <v>2025</v>
      </c>
      <c r="L121" s="299"/>
      <c r="M121" s="299">
        <v>1146</v>
      </c>
      <c r="N121" s="299">
        <f t="shared" si="9"/>
        <v>0.5</v>
      </c>
    </row>
    <row r="122" spans="1:14" s="292" customFormat="1" ht="24.95" customHeight="1">
      <c r="A122" s="289" t="s">
        <v>1046</v>
      </c>
      <c r="B122" s="293" t="s">
        <v>173</v>
      </c>
      <c r="C122" s="294" t="s">
        <v>176</v>
      </c>
      <c r="D122" s="319" t="s">
        <v>177</v>
      </c>
      <c r="E122" s="316">
        <v>16</v>
      </c>
      <c r="F122" s="549">
        <f>19939.47*N122</f>
        <v>9969.7350000000006</v>
      </c>
      <c r="G122" s="317">
        <f t="shared" si="8"/>
        <v>11313.735000000001</v>
      </c>
      <c r="H122" s="318" t="s">
        <v>113</v>
      </c>
      <c r="I122" s="296" t="s">
        <v>174</v>
      </c>
      <c r="J122" s="297">
        <v>650</v>
      </c>
      <c r="K122" s="299">
        <v>2025</v>
      </c>
      <c r="L122" s="299"/>
      <c r="M122" s="299">
        <v>1344</v>
      </c>
      <c r="N122" s="299">
        <f t="shared" si="9"/>
        <v>0.5</v>
      </c>
    </row>
    <row r="123" spans="1:14" s="292" customFormat="1" ht="24.95" customHeight="1">
      <c r="A123" s="289" t="s">
        <v>1046</v>
      </c>
      <c r="B123" s="293" t="s">
        <v>173</v>
      </c>
      <c r="C123" s="294" t="s">
        <v>178</v>
      </c>
      <c r="D123" s="294" t="s">
        <v>179</v>
      </c>
      <c r="E123" s="316">
        <v>20</v>
      </c>
      <c r="F123" s="549">
        <f>35288.36*N123</f>
        <v>17644.18</v>
      </c>
      <c r="G123" s="317">
        <f t="shared" si="8"/>
        <v>19244.18</v>
      </c>
      <c r="H123" s="318" t="s">
        <v>113</v>
      </c>
      <c r="I123" s="296" t="s">
        <v>174</v>
      </c>
      <c r="J123" s="297">
        <v>700</v>
      </c>
      <c r="K123" s="299">
        <v>2025</v>
      </c>
      <c r="L123" s="299"/>
      <c r="M123" s="299">
        <v>1600</v>
      </c>
      <c r="N123" s="299">
        <f t="shared" si="9"/>
        <v>0.5</v>
      </c>
    </row>
    <row r="124" spans="1:14" s="292" customFormat="1" ht="24.95" customHeight="1">
      <c r="A124" s="301"/>
      <c r="B124" s="302"/>
      <c r="C124" s="302"/>
      <c r="D124" s="302"/>
      <c r="E124" s="302"/>
      <c r="F124" s="546"/>
      <c r="G124" s="302"/>
      <c r="H124" s="302"/>
      <c r="I124" s="302"/>
      <c r="J124" s="302"/>
      <c r="K124" s="302"/>
      <c r="L124" s="302"/>
      <c r="M124" s="302"/>
      <c r="N124" s="290"/>
    </row>
    <row r="125" spans="1:14" s="292" customFormat="1" ht="24.95" customHeight="1">
      <c r="A125" s="289" t="s">
        <v>1046</v>
      </c>
      <c r="B125" s="293" t="s">
        <v>173</v>
      </c>
      <c r="C125" s="294" t="s">
        <v>57</v>
      </c>
      <c r="D125" s="299" t="s">
        <v>31</v>
      </c>
      <c r="E125" s="316" t="s">
        <v>32</v>
      </c>
      <c r="F125" s="549">
        <f>2789.69*N125</f>
        <v>1952.7829999999999</v>
      </c>
      <c r="G125" s="317">
        <f>F125+M125</f>
        <v>2104.7829999999999</v>
      </c>
      <c r="H125" s="318" t="s">
        <v>113</v>
      </c>
      <c r="I125" s="296" t="s">
        <v>181</v>
      </c>
      <c r="J125" s="297">
        <v>75</v>
      </c>
      <c r="K125" s="299">
        <v>2025</v>
      </c>
      <c r="L125" s="299"/>
      <c r="M125" s="299">
        <f>2*76</f>
        <v>152</v>
      </c>
      <c r="N125" s="299">
        <v>0.7</v>
      </c>
    </row>
    <row r="126" spans="1:14" s="292" customFormat="1" ht="24.95" customHeight="1">
      <c r="A126" s="289" t="s">
        <v>1046</v>
      </c>
      <c r="B126" s="293" t="s">
        <v>173</v>
      </c>
      <c r="C126" s="294" t="s">
        <v>59</v>
      </c>
      <c r="D126" s="299" t="s">
        <v>1053</v>
      </c>
      <c r="E126" s="316" t="s">
        <v>34</v>
      </c>
      <c r="F126" s="549">
        <f>3258.68*N126</f>
        <v>2281.0759999999996</v>
      </c>
      <c r="G126" s="317">
        <f t="shared" ref="G126:G132" si="10">F126+M126</f>
        <v>2528.6759999999995</v>
      </c>
      <c r="H126" s="318" t="s">
        <v>113</v>
      </c>
      <c r="I126" s="296" t="s">
        <v>181</v>
      </c>
      <c r="J126" s="297">
        <v>120</v>
      </c>
      <c r="K126" s="299">
        <v>2025</v>
      </c>
      <c r="L126" s="299"/>
      <c r="M126" s="299">
        <f>2*123.8</f>
        <v>247.6</v>
      </c>
      <c r="N126" s="299">
        <f>N125</f>
        <v>0.7</v>
      </c>
    </row>
    <row r="127" spans="1:14" s="292" customFormat="1" ht="24.95" customHeight="1">
      <c r="A127" s="289" t="s">
        <v>1046</v>
      </c>
      <c r="B127" s="293" t="s">
        <v>173</v>
      </c>
      <c r="C127" s="294" t="s">
        <v>60</v>
      </c>
      <c r="D127" s="299" t="s">
        <v>1054</v>
      </c>
      <c r="E127" s="316">
        <v>3</v>
      </c>
      <c r="F127" s="549">
        <f>3282.53*N127</f>
        <v>2297.7710000000002</v>
      </c>
      <c r="G127" s="317">
        <f t="shared" si="10"/>
        <v>2597.7710000000002</v>
      </c>
      <c r="H127" s="318" t="s">
        <v>113</v>
      </c>
      <c r="I127" s="296" t="s">
        <v>181</v>
      </c>
      <c r="J127" s="297">
        <v>150</v>
      </c>
      <c r="K127" s="299">
        <v>2025</v>
      </c>
      <c r="L127" s="299"/>
      <c r="M127" s="299">
        <v>300</v>
      </c>
      <c r="N127" s="299">
        <f t="shared" ref="N127:N136" si="11">N126</f>
        <v>0.7</v>
      </c>
    </row>
    <row r="128" spans="1:14" s="292" customFormat="1" ht="24.95" customHeight="1">
      <c r="A128" s="289" t="s">
        <v>1046</v>
      </c>
      <c r="B128" s="293" t="s">
        <v>173</v>
      </c>
      <c r="C128" s="294" t="s">
        <v>62</v>
      </c>
      <c r="D128" s="319" t="s">
        <v>210</v>
      </c>
      <c r="E128" s="316">
        <v>4</v>
      </c>
      <c r="F128" s="549">
        <f>4199.07*N128</f>
        <v>2939.3489999999997</v>
      </c>
      <c r="G128" s="317">
        <f t="shared" si="10"/>
        <v>3324.1489999999999</v>
      </c>
      <c r="H128" s="318" t="s">
        <v>113</v>
      </c>
      <c r="I128" s="296" t="s">
        <v>181</v>
      </c>
      <c r="J128" s="297">
        <v>162</v>
      </c>
      <c r="K128" s="299">
        <v>2025</v>
      </c>
      <c r="L128" s="299"/>
      <c r="M128" s="299">
        <f>192.4*2</f>
        <v>384.8</v>
      </c>
      <c r="N128" s="299">
        <f t="shared" si="11"/>
        <v>0.7</v>
      </c>
    </row>
    <row r="129" spans="1:14" s="292" customFormat="1" ht="24.95" customHeight="1">
      <c r="A129" s="289" t="s">
        <v>1046</v>
      </c>
      <c r="B129" s="293" t="s">
        <v>173</v>
      </c>
      <c r="C129" s="294" t="s">
        <v>63</v>
      </c>
      <c r="D129" s="319" t="s">
        <v>168</v>
      </c>
      <c r="E129" s="316">
        <v>5</v>
      </c>
      <c r="F129" s="549">
        <f>5967.92*N129</f>
        <v>4177.5439999999999</v>
      </c>
      <c r="G129" s="317">
        <f t="shared" si="10"/>
        <v>4617.5439999999999</v>
      </c>
      <c r="H129" s="318" t="s">
        <v>113</v>
      </c>
      <c r="I129" s="296" t="s">
        <v>181</v>
      </c>
      <c r="J129" s="297">
        <v>200</v>
      </c>
      <c r="K129" s="299">
        <v>2025</v>
      </c>
      <c r="L129" s="299"/>
      <c r="M129" s="299">
        <f>220*2</f>
        <v>440</v>
      </c>
      <c r="N129" s="299">
        <f t="shared" si="11"/>
        <v>0.7</v>
      </c>
    </row>
    <row r="130" spans="1:14" s="292" customFormat="1" ht="24.95" customHeight="1">
      <c r="A130" s="289" t="s">
        <v>1046</v>
      </c>
      <c r="B130" s="293" t="s">
        <v>173</v>
      </c>
      <c r="C130" s="294" t="s">
        <v>66</v>
      </c>
      <c r="D130" s="319" t="s">
        <v>169</v>
      </c>
      <c r="E130" s="316">
        <v>6</v>
      </c>
      <c r="F130" s="549">
        <f>6196.55*N130</f>
        <v>4337.585</v>
      </c>
      <c r="G130" s="317">
        <f t="shared" si="10"/>
        <v>4907.585</v>
      </c>
      <c r="H130" s="318" t="s">
        <v>113</v>
      </c>
      <c r="I130" s="296" t="s">
        <v>181</v>
      </c>
      <c r="J130" s="297">
        <v>250</v>
      </c>
      <c r="K130" s="299">
        <v>2025</v>
      </c>
      <c r="L130" s="299"/>
      <c r="M130" s="299">
        <f>285*2</f>
        <v>570</v>
      </c>
      <c r="N130" s="299">
        <f t="shared" si="11"/>
        <v>0.7</v>
      </c>
    </row>
    <row r="131" spans="1:14" s="292" customFormat="1" ht="24.95" customHeight="1">
      <c r="A131" s="289" t="s">
        <v>1046</v>
      </c>
      <c r="B131" s="293" t="s">
        <v>173</v>
      </c>
      <c r="C131" s="294" t="s">
        <v>121</v>
      </c>
      <c r="D131" s="319" t="s">
        <v>170</v>
      </c>
      <c r="E131" s="316">
        <v>8</v>
      </c>
      <c r="F131" s="549">
        <f>8383.75*N131</f>
        <v>5868.625</v>
      </c>
      <c r="G131" s="317">
        <f t="shared" si="10"/>
        <v>6668.625</v>
      </c>
      <c r="H131" s="318" t="s">
        <v>113</v>
      </c>
      <c r="I131" s="296" t="s">
        <v>181</v>
      </c>
      <c r="J131" s="297">
        <v>325</v>
      </c>
      <c r="K131" s="299">
        <v>2025</v>
      </c>
      <c r="L131" s="299"/>
      <c r="M131" s="299">
        <v>800</v>
      </c>
      <c r="N131" s="299">
        <f t="shared" si="11"/>
        <v>0.7</v>
      </c>
    </row>
    <row r="132" spans="1:14" s="292" customFormat="1" ht="24.95" customHeight="1">
      <c r="A132" s="289" t="s">
        <v>1046</v>
      </c>
      <c r="B132" s="293" t="s">
        <v>173</v>
      </c>
      <c r="C132" s="294" t="s">
        <v>122</v>
      </c>
      <c r="D132" s="319" t="s">
        <v>171</v>
      </c>
      <c r="E132" s="316">
        <v>10</v>
      </c>
      <c r="F132" s="549">
        <f>25928*N132</f>
        <v>18149.599999999999</v>
      </c>
      <c r="G132" s="317">
        <f t="shared" si="10"/>
        <v>19349.599999999999</v>
      </c>
      <c r="H132" s="318" t="s">
        <v>113</v>
      </c>
      <c r="I132" s="296" t="s">
        <v>181</v>
      </c>
      <c r="J132" s="297">
        <v>400</v>
      </c>
      <c r="K132" s="299">
        <v>2025</v>
      </c>
      <c r="L132" s="299"/>
      <c r="M132" s="299">
        <f>600*2</f>
        <v>1200</v>
      </c>
      <c r="N132" s="299">
        <f t="shared" si="11"/>
        <v>0.7</v>
      </c>
    </row>
    <row r="133" spans="1:14" s="292" customFormat="1" ht="24.95" customHeight="1">
      <c r="A133" s="289" t="s">
        <v>1046</v>
      </c>
      <c r="B133" s="293" t="s">
        <v>173</v>
      </c>
      <c r="C133" s="294" t="s">
        <v>156</v>
      </c>
      <c r="D133" s="319" t="s">
        <v>172</v>
      </c>
      <c r="E133" s="316">
        <v>12</v>
      </c>
      <c r="F133" s="549"/>
      <c r="G133" s="317"/>
      <c r="H133" s="318" t="s">
        <v>113</v>
      </c>
      <c r="I133" s="296" t="s">
        <v>181</v>
      </c>
      <c r="J133" s="297">
        <v>487</v>
      </c>
      <c r="K133" s="299">
        <v>2025</v>
      </c>
      <c r="L133" s="299"/>
      <c r="M133" s="299">
        <v>1800</v>
      </c>
      <c r="N133" s="299">
        <f t="shared" si="11"/>
        <v>0.7</v>
      </c>
    </row>
    <row r="134" spans="1:14" s="292" customFormat="1" ht="24.95" customHeight="1">
      <c r="A134" s="289" t="s">
        <v>1046</v>
      </c>
      <c r="B134" s="293" t="s">
        <v>173</v>
      </c>
      <c r="C134" s="294" t="s">
        <v>158</v>
      </c>
      <c r="D134" s="319" t="s">
        <v>175</v>
      </c>
      <c r="E134" s="316">
        <v>14</v>
      </c>
      <c r="F134" s="549"/>
      <c r="G134" s="317"/>
      <c r="H134" s="318" t="s">
        <v>113</v>
      </c>
      <c r="I134" s="296" t="s">
        <v>181</v>
      </c>
      <c r="J134" s="297">
        <v>562</v>
      </c>
      <c r="K134" s="299">
        <v>2025</v>
      </c>
      <c r="L134" s="299"/>
      <c r="M134" s="299">
        <f>1380*2</f>
        <v>2760</v>
      </c>
      <c r="N134" s="299">
        <f t="shared" si="11"/>
        <v>0.7</v>
      </c>
    </row>
    <row r="135" spans="1:14" s="292" customFormat="1" ht="24.95" customHeight="1">
      <c r="A135" s="289" t="s">
        <v>1046</v>
      </c>
      <c r="B135" s="293" t="s">
        <v>173</v>
      </c>
      <c r="C135" s="294" t="s">
        <v>176</v>
      </c>
      <c r="D135" s="319" t="s">
        <v>177</v>
      </c>
      <c r="E135" s="316">
        <v>16</v>
      </c>
      <c r="F135" s="549"/>
      <c r="G135" s="317"/>
      <c r="H135" s="318" t="s">
        <v>113</v>
      </c>
      <c r="I135" s="296" t="s">
        <v>181</v>
      </c>
      <c r="J135" s="297">
        <v>650</v>
      </c>
      <c r="K135" s="299">
        <v>2025</v>
      </c>
      <c r="L135" s="299"/>
      <c r="M135" s="299">
        <f>1758*2</f>
        <v>3516</v>
      </c>
      <c r="N135" s="299">
        <f t="shared" si="11"/>
        <v>0.7</v>
      </c>
    </row>
    <row r="136" spans="1:14" s="292" customFormat="1" ht="24.95" customHeight="1">
      <c r="A136" s="289" t="s">
        <v>1046</v>
      </c>
      <c r="B136" s="293" t="s">
        <v>173</v>
      </c>
      <c r="C136" s="294" t="s">
        <v>178</v>
      </c>
      <c r="D136" s="294" t="s">
        <v>179</v>
      </c>
      <c r="E136" s="316">
        <v>20</v>
      </c>
      <c r="F136" s="549"/>
      <c r="G136" s="317"/>
      <c r="H136" s="318" t="s">
        <v>113</v>
      </c>
      <c r="I136" s="296" t="s">
        <v>181</v>
      </c>
      <c r="J136" s="297">
        <v>700</v>
      </c>
      <c r="K136" s="299">
        <v>2025</v>
      </c>
      <c r="L136" s="299"/>
      <c r="M136" s="299"/>
      <c r="N136" s="299">
        <f t="shared" si="11"/>
        <v>0.7</v>
      </c>
    </row>
    <row r="137" spans="1:14" s="292" customFormat="1" ht="24.95" customHeight="1">
      <c r="A137" s="301"/>
      <c r="B137" s="302"/>
      <c r="C137" s="302"/>
      <c r="D137" s="302"/>
      <c r="E137" s="302"/>
      <c r="F137" s="546"/>
      <c r="G137" s="302"/>
      <c r="H137" s="302"/>
      <c r="I137" s="302"/>
      <c r="J137" s="302"/>
      <c r="K137" s="302"/>
      <c r="L137" s="302"/>
      <c r="M137" s="302"/>
      <c r="N137" s="290"/>
    </row>
    <row r="138" spans="1:14" s="292" customFormat="1" ht="24.95" customHeight="1">
      <c r="A138" s="289" t="s">
        <v>1046</v>
      </c>
      <c r="B138" s="320" t="s">
        <v>182</v>
      </c>
      <c r="C138" s="294" t="s">
        <v>49</v>
      </c>
      <c r="D138" s="299" t="s">
        <v>104</v>
      </c>
      <c r="E138" s="316" t="s">
        <v>24</v>
      </c>
      <c r="F138" s="549">
        <f>164.2*N138</f>
        <v>82.1</v>
      </c>
      <c r="G138" s="317">
        <f t="shared" ref="G138:G153" si="12">F138+M138</f>
        <v>82.1</v>
      </c>
      <c r="H138" s="318" t="s">
        <v>113</v>
      </c>
      <c r="I138" s="296" t="s">
        <v>183</v>
      </c>
      <c r="J138" s="297">
        <v>30</v>
      </c>
      <c r="K138" s="299">
        <v>2025</v>
      </c>
      <c r="L138" s="299"/>
      <c r="M138" s="299"/>
      <c r="N138" s="299">
        <f>N123</f>
        <v>0.5</v>
      </c>
    </row>
    <row r="139" spans="1:14" s="292" customFormat="1" ht="24.95" customHeight="1">
      <c r="A139" s="289" t="s">
        <v>1046</v>
      </c>
      <c r="B139" s="320" t="s">
        <v>182</v>
      </c>
      <c r="C139" s="294" t="s">
        <v>51</v>
      </c>
      <c r="D139" s="299" t="s">
        <v>105</v>
      </c>
      <c r="E139" s="316" t="s">
        <v>26</v>
      </c>
      <c r="F139" s="549">
        <f>183.43*N139</f>
        <v>91.715000000000003</v>
      </c>
      <c r="G139" s="317">
        <f t="shared" si="12"/>
        <v>91.715000000000003</v>
      </c>
      <c r="H139" s="318" t="s">
        <v>113</v>
      </c>
      <c r="I139" s="296" t="s">
        <v>183</v>
      </c>
      <c r="J139" s="297">
        <v>35</v>
      </c>
      <c r="K139" s="299">
        <v>2025</v>
      </c>
      <c r="L139" s="299"/>
      <c r="M139" s="299"/>
      <c r="N139" s="299">
        <f>N138</f>
        <v>0.5</v>
      </c>
    </row>
    <row r="140" spans="1:14" s="292" customFormat="1" ht="24.95" customHeight="1">
      <c r="A140" s="289" t="s">
        <v>1046</v>
      </c>
      <c r="B140" s="320" t="s">
        <v>182</v>
      </c>
      <c r="C140" s="294" t="s">
        <v>53</v>
      </c>
      <c r="D140" s="299" t="s">
        <v>106</v>
      </c>
      <c r="E140" s="316" t="s">
        <v>28</v>
      </c>
      <c r="F140" s="549">
        <f>221.81*N140</f>
        <v>110.905</v>
      </c>
      <c r="G140" s="317">
        <f t="shared" si="12"/>
        <v>110.905</v>
      </c>
      <c r="H140" s="318" t="s">
        <v>113</v>
      </c>
      <c r="I140" s="296" t="s">
        <v>183</v>
      </c>
      <c r="J140" s="297">
        <v>50</v>
      </c>
      <c r="K140" s="299">
        <v>2025</v>
      </c>
      <c r="L140" s="299"/>
      <c r="M140" s="299"/>
      <c r="N140" s="299">
        <f t="shared" ref="N140:N153" si="13">N139</f>
        <v>0.5</v>
      </c>
    </row>
    <row r="141" spans="1:14" s="292" customFormat="1" ht="24.95" customHeight="1">
      <c r="A141" s="289" t="s">
        <v>1046</v>
      </c>
      <c r="B141" s="320" t="s">
        <v>182</v>
      </c>
      <c r="C141" s="294" t="s">
        <v>55</v>
      </c>
      <c r="D141" s="299" t="s">
        <v>107</v>
      </c>
      <c r="E141" s="316" t="s">
        <v>30</v>
      </c>
      <c r="F141" s="549">
        <f>273.07*N141</f>
        <v>136.535</v>
      </c>
      <c r="G141" s="317">
        <f t="shared" si="12"/>
        <v>136.535</v>
      </c>
      <c r="H141" s="318" t="s">
        <v>113</v>
      </c>
      <c r="I141" s="296" t="s">
        <v>183</v>
      </c>
      <c r="J141" s="297">
        <v>55</v>
      </c>
      <c r="K141" s="299">
        <v>2025</v>
      </c>
      <c r="L141" s="299"/>
      <c r="M141" s="299"/>
      <c r="N141" s="299">
        <f t="shared" si="13"/>
        <v>0.5</v>
      </c>
    </row>
    <row r="142" spans="1:14" s="292" customFormat="1" ht="24.95" customHeight="1">
      <c r="A142" s="289" t="s">
        <v>1046</v>
      </c>
      <c r="B142" s="320" t="s">
        <v>182</v>
      </c>
      <c r="C142" s="294" t="s">
        <v>57</v>
      </c>
      <c r="D142" s="299" t="s">
        <v>31</v>
      </c>
      <c r="E142" s="316" t="s">
        <v>32</v>
      </c>
      <c r="F142" s="549">
        <f>305.16*N142</f>
        <v>152.58000000000001</v>
      </c>
      <c r="G142" s="317">
        <f t="shared" si="12"/>
        <v>152.58000000000001</v>
      </c>
      <c r="H142" s="318" t="s">
        <v>113</v>
      </c>
      <c r="I142" s="296" t="s">
        <v>183</v>
      </c>
      <c r="J142" s="297">
        <v>75</v>
      </c>
      <c r="K142" s="299">
        <v>2025</v>
      </c>
      <c r="L142" s="299"/>
      <c r="M142" s="299"/>
      <c r="N142" s="299">
        <f t="shared" si="13"/>
        <v>0.5</v>
      </c>
    </row>
    <row r="143" spans="1:14" s="292" customFormat="1" ht="24.95" customHeight="1">
      <c r="A143" s="289" t="s">
        <v>1046</v>
      </c>
      <c r="B143" s="320" t="s">
        <v>182</v>
      </c>
      <c r="C143" s="294" t="s">
        <v>59</v>
      </c>
      <c r="D143" s="299" t="s">
        <v>1053</v>
      </c>
      <c r="E143" s="316" t="s">
        <v>34</v>
      </c>
      <c r="F143" s="549">
        <f>372.98*N143</f>
        <v>186.49</v>
      </c>
      <c r="G143" s="317">
        <f t="shared" si="12"/>
        <v>270.49</v>
      </c>
      <c r="H143" s="318" t="s">
        <v>113</v>
      </c>
      <c r="I143" s="296" t="s">
        <v>184</v>
      </c>
      <c r="J143" s="297">
        <v>120</v>
      </c>
      <c r="K143" s="299">
        <v>2025</v>
      </c>
      <c r="L143" s="299"/>
      <c r="M143" s="299">
        <v>84</v>
      </c>
      <c r="N143" s="299">
        <f t="shared" si="13"/>
        <v>0.5</v>
      </c>
    </row>
    <row r="144" spans="1:14" s="292" customFormat="1" ht="24.95" customHeight="1">
      <c r="A144" s="289" t="s">
        <v>1046</v>
      </c>
      <c r="B144" s="320" t="s">
        <v>182</v>
      </c>
      <c r="C144" s="294" t="s">
        <v>60</v>
      </c>
      <c r="D144" s="299" t="s">
        <v>1054</v>
      </c>
      <c r="E144" s="316">
        <v>3</v>
      </c>
      <c r="F144" s="549">
        <f>452.01*N144</f>
        <v>226.005</v>
      </c>
      <c r="G144" s="317">
        <f t="shared" si="12"/>
        <v>332.005</v>
      </c>
      <c r="H144" s="318" t="s">
        <v>113</v>
      </c>
      <c r="I144" s="296" t="s">
        <v>184</v>
      </c>
      <c r="J144" s="297">
        <v>150</v>
      </c>
      <c r="K144" s="299">
        <v>2025</v>
      </c>
      <c r="L144" s="299"/>
      <c r="M144" s="299">
        <v>106</v>
      </c>
      <c r="N144" s="299">
        <f t="shared" si="13"/>
        <v>0.5</v>
      </c>
    </row>
    <row r="145" spans="1:14" s="292" customFormat="1" ht="24.95" customHeight="1">
      <c r="A145" s="289" t="s">
        <v>1046</v>
      </c>
      <c r="B145" s="320" t="s">
        <v>182</v>
      </c>
      <c r="C145" s="294" t="s">
        <v>62</v>
      </c>
      <c r="D145" s="319" t="s">
        <v>210</v>
      </c>
      <c r="E145" s="316">
        <v>4</v>
      </c>
      <c r="F145" s="549">
        <f>558.96*N145</f>
        <v>279.48</v>
      </c>
      <c r="G145" s="317">
        <f t="shared" si="12"/>
        <v>405.48</v>
      </c>
      <c r="H145" s="318" t="s">
        <v>113</v>
      </c>
      <c r="I145" s="296" t="s">
        <v>184</v>
      </c>
      <c r="J145" s="297">
        <v>162</v>
      </c>
      <c r="K145" s="299">
        <v>2025</v>
      </c>
      <c r="L145" s="299"/>
      <c r="M145" s="299">
        <v>126</v>
      </c>
      <c r="N145" s="299">
        <f t="shared" si="13"/>
        <v>0.5</v>
      </c>
    </row>
    <row r="146" spans="1:14" s="292" customFormat="1" ht="24.95" customHeight="1">
      <c r="A146" s="289" t="s">
        <v>1046</v>
      </c>
      <c r="B146" s="320" t="s">
        <v>182</v>
      </c>
      <c r="C146" s="294" t="s">
        <v>63</v>
      </c>
      <c r="D146" s="319" t="s">
        <v>168</v>
      </c>
      <c r="E146" s="316">
        <v>5</v>
      </c>
      <c r="F146" s="549">
        <f>719.19*N146</f>
        <v>359.59500000000003</v>
      </c>
      <c r="G146" s="317">
        <f t="shared" si="12"/>
        <v>563.59500000000003</v>
      </c>
      <c r="H146" s="318" t="s">
        <v>113</v>
      </c>
      <c r="I146" s="296" t="s">
        <v>184</v>
      </c>
      <c r="J146" s="297">
        <v>200</v>
      </c>
      <c r="K146" s="299">
        <v>2025</v>
      </c>
      <c r="L146" s="299"/>
      <c r="M146" s="299">
        <v>204</v>
      </c>
      <c r="N146" s="299">
        <f t="shared" si="13"/>
        <v>0.5</v>
      </c>
    </row>
    <row r="147" spans="1:14" s="292" customFormat="1" ht="24.95" customHeight="1">
      <c r="A147" s="289" t="s">
        <v>1046</v>
      </c>
      <c r="B147" s="320" t="s">
        <v>182</v>
      </c>
      <c r="C147" s="294" t="s">
        <v>66</v>
      </c>
      <c r="D147" s="319" t="s">
        <v>169</v>
      </c>
      <c r="E147" s="316">
        <v>6</v>
      </c>
      <c r="F147" s="549">
        <f>924.58*N147</f>
        <v>462.29</v>
      </c>
      <c r="G147" s="317">
        <f t="shared" si="12"/>
        <v>688.29</v>
      </c>
      <c r="H147" s="318" t="s">
        <v>113</v>
      </c>
      <c r="I147" s="296" t="s">
        <v>184</v>
      </c>
      <c r="J147" s="297">
        <v>250</v>
      </c>
      <c r="K147" s="299">
        <v>2025</v>
      </c>
      <c r="L147" s="299"/>
      <c r="M147" s="299">
        <v>226</v>
      </c>
      <c r="N147" s="299">
        <f t="shared" si="13"/>
        <v>0.5</v>
      </c>
    </row>
    <row r="148" spans="1:14" s="292" customFormat="1" ht="24.95" customHeight="1">
      <c r="A148" s="289" t="s">
        <v>1046</v>
      </c>
      <c r="B148" s="320" t="s">
        <v>182</v>
      </c>
      <c r="C148" s="294" t="s">
        <v>121</v>
      </c>
      <c r="D148" s="319" t="s">
        <v>170</v>
      </c>
      <c r="E148" s="316">
        <v>8</v>
      </c>
      <c r="F148" s="549">
        <f>1285.22*N148</f>
        <v>642.61</v>
      </c>
      <c r="G148" s="317">
        <f t="shared" si="12"/>
        <v>982.61</v>
      </c>
      <c r="H148" s="318" t="s">
        <v>113</v>
      </c>
      <c r="I148" s="296" t="s">
        <v>184</v>
      </c>
      <c r="J148" s="297">
        <v>325</v>
      </c>
      <c r="K148" s="299">
        <v>2025</v>
      </c>
      <c r="L148" s="299"/>
      <c r="M148" s="299">
        <v>340</v>
      </c>
      <c r="N148" s="299">
        <f t="shared" si="13"/>
        <v>0.5</v>
      </c>
    </row>
    <row r="149" spans="1:14" s="292" customFormat="1" ht="24.95" customHeight="1">
      <c r="A149" s="289" t="s">
        <v>1046</v>
      </c>
      <c r="B149" s="320" t="s">
        <v>182</v>
      </c>
      <c r="C149" s="294" t="s">
        <v>122</v>
      </c>
      <c r="D149" s="319" t="s">
        <v>171</v>
      </c>
      <c r="E149" s="316">
        <v>10</v>
      </c>
      <c r="F149" s="549">
        <f>2123.82*N149</f>
        <v>1061.9100000000001</v>
      </c>
      <c r="G149" s="317">
        <f t="shared" si="12"/>
        <v>1565.91</v>
      </c>
      <c r="H149" s="318" t="s">
        <v>113</v>
      </c>
      <c r="I149" s="296" t="s">
        <v>184</v>
      </c>
      <c r="J149" s="297">
        <v>400</v>
      </c>
      <c r="K149" s="299">
        <v>2025</v>
      </c>
      <c r="L149" s="299"/>
      <c r="M149" s="299">
        <v>504</v>
      </c>
      <c r="N149" s="299">
        <f t="shared" si="13"/>
        <v>0.5</v>
      </c>
    </row>
    <row r="150" spans="1:14" s="292" customFormat="1" ht="24.95" customHeight="1">
      <c r="A150" s="289" t="s">
        <v>1046</v>
      </c>
      <c r="B150" s="320" t="s">
        <v>182</v>
      </c>
      <c r="C150" s="294" t="s">
        <v>156</v>
      </c>
      <c r="D150" s="319" t="s">
        <v>172</v>
      </c>
      <c r="E150" s="316">
        <v>12</v>
      </c>
      <c r="F150" s="549">
        <f>2654.94*N150</f>
        <v>1327.47</v>
      </c>
      <c r="G150" s="317">
        <f t="shared" si="12"/>
        <v>2011.47</v>
      </c>
      <c r="H150" s="318" t="s">
        <v>113</v>
      </c>
      <c r="I150" s="296" t="s">
        <v>184</v>
      </c>
      <c r="J150" s="297">
        <v>487</v>
      </c>
      <c r="K150" s="299">
        <v>2025</v>
      </c>
      <c r="L150" s="299"/>
      <c r="M150" s="299">
        <v>684</v>
      </c>
      <c r="N150" s="299">
        <f t="shared" si="13"/>
        <v>0.5</v>
      </c>
    </row>
    <row r="151" spans="1:14" s="292" customFormat="1" ht="24.95" customHeight="1">
      <c r="A151" s="289" t="s">
        <v>1046</v>
      </c>
      <c r="B151" s="320" t="s">
        <v>182</v>
      </c>
      <c r="C151" s="294" t="s">
        <v>158</v>
      </c>
      <c r="D151" s="319" t="s">
        <v>175</v>
      </c>
      <c r="E151" s="316">
        <v>14</v>
      </c>
      <c r="F151" s="549">
        <f>3669.81*N151</f>
        <v>1834.905</v>
      </c>
      <c r="G151" s="317">
        <f t="shared" si="12"/>
        <v>2980.9049999999997</v>
      </c>
      <c r="H151" s="318" t="s">
        <v>113</v>
      </c>
      <c r="I151" s="296" t="s">
        <v>184</v>
      </c>
      <c r="J151" s="297">
        <v>562</v>
      </c>
      <c r="K151" s="299">
        <v>2025</v>
      </c>
      <c r="L151" s="299"/>
      <c r="M151" s="299">
        <v>1146</v>
      </c>
      <c r="N151" s="299">
        <f t="shared" si="13"/>
        <v>0.5</v>
      </c>
    </row>
    <row r="152" spans="1:14" s="292" customFormat="1" ht="24.95" customHeight="1">
      <c r="A152" s="289" t="s">
        <v>1046</v>
      </c>
      <c r="B152" s="320" t="s">
        <v>182</v>
      </c>
      <c r="C152" s="294" t="s">
        <v>176</v>
      </c>
      <c r="D152" s="319" t="s">
        <v>177</v>
      </c>
      <c r="E152" s="316">
        <v>16</v>
      </c>
      <c r="F152" s="549">
        <f>4764.57*N152</f>
        <v>2382.2849999999999</v>
      </c>
      <c r="G152" s="317">
        <f t="shared" si="12"/>
        <v>3726.2849999999999</v>
      </c>
      <c r="H152" s="318" t="s">
        <v>113</v>
      </c>
      <c r="I152" s="296" t="s">
        <v>184</v>
      </c>
      <c r="J152" s="297">
        <v>650</v>
      </c>
      <c r="K152" s="299">
        <v>2025</v>
      </c>
      <c r="L152" s="299"/>
      <c r="M152" s="299">
        <v>1344</v>
      </c>
      <c r="N152" s="299">
        <f t="shared" si="13"/>
        <v>0.5</v>
      </c>
    </row>
    <row r="153" spans="1:14" s="292" customFormat="1" ht="24.95" customHeight="1">
      <c r="A153" s="289" t="s">
        <v>1046</v>
      </c>
      <c r="B153" s="320" t="s">
        <v>182</v>
      </c>
      <c r="C153" s="294" t="s">
        <v>178</v>
      </c>
      <c r="D153" s="294" t="s">
        <v>179</v>
      </c>
      <c r="E153" s="316">
        <v>20</v>
      </c>
      <c r="F153" s="549">
        <f>6688.37*N153</f>
        <v>3344.1849999999999</v>
      </c>
      <c r="G153" s="317">
        <f t="shared" si="12"/>
        <v>4944.1849999999995</v>
      </c>
      <c r="H153" s="318" t="s">
        <v>113</v>
      </c>
      <c r="I153" s="296" t="s">
        <v>184</v>
      </c>
      <c r="J153" s="297">
        <v>700</v>
      </c>
      <c r="K153" s="299">
        <v>2025</v>
      </c>
      <c r="L153" s="299"/>
      <c r="M153" s="299">
        <v>1600</v>
      </c>
      <c r="N153" s="299">
        <f t="shared" si="13"/>
        <v>0.5</v>
      </c>
    </row>
    <row r="154" spans="1:14" s="292" customFormat="1" ht="24.95" customHeight="1">
      <c r="A154" s="301"/>
      <c r="B154" s="302"/>
      <c r="C154" s="302"/>
      <c r="D154" s="302"/>
      <c r="E154" s="302"/>
      <c r="F154" s="546"/>
      <c r="G154" s="302"/>
      <c r="H154" s="302"/>
      <c r="I154" s="302"/>
      <c r="J154" s="302"/>
      <c r="K154" s="302"/>
      <c r="L154" s="302"/>
      <c r="M154" s="302"/>
      <c r="N154" s="290"/>
    </row>
    <row r="155" spans="1:14" s="292" customFormat="1" ht="24.95" customHeight="1">
      <c r="A155" s="289" t="s">
        <v>1046</v>
      </c>
      <c r="B155" s="320" t="s">
        <v>1047</v>
      </c>
      <c r="C155" s="299" t="s">
        <v>94</v>
      </c>
      <c r="D155" s="299" t="s">
        <v>185</v>
      </c>
      <c r="E155" s="321">
        <v>0.375</v>
      </c>
      <c r="F155" s="549">
        <f>126*N155</f>
        <v>63</v>
      </c>
      <c r="G155" s="317">
        <f>F155+M155</f>
        <v>63</v>
      </c>
      <c r="H155" s="318" t="s">
        <v>1055</v>
      </c>
      <c r="I155" s="296" t="s">
        <v>187</v>
      </c>
      <c r="J155" s="297">
        <v>25</v>
      </c>
      <c r="K155" s="299">
        <v>2025</v>
      </c>
      <c r="L155" s="299"/>
      <c r="M155" s="299"/>
      <c r="N155" s="299">
        <v>0.5</v>
      </c>
    </row>
    <row r="156" spans="1:14" s="292" customFormat="1" ht="24.95" customHeight="1">
      <c r="A156" s="289" t="s">
        <v>1046</v>
      </c>
      <c r="B156" s="320" t="s">
        <v>1047</v>
      </c>
      <c r="C156" s="294" t="s">
        <v>47</v>
      </c>
      <c r="D156" s="299" t="s">
        <v>99</v>
      </c>
      <c r="E156" s="316" t="s">
        <v>22</v>
      </c>
      <c r="F156" s="549">
        <f>148*N156</f>
        <v>74</v>
      </c>
      <c r="G156" s="317">
        <f t="shared" ref="G156:G163" si="14">F156+M156</f>
        <v>74</v>
      </c>
      <c r="H156" s="318" t="s">
        <v>1055</v>
      </c>
      <c r="I156" s="296" t="s">
        <v>187</v>
      </c>
      <c r="J156" s="297">
        <v>25</v>
      </c>
      <c r="K156" s="299">
        <v>2025</v>
      </c>
      <c r="L156" s="299"/>
      <c r="M156" s="299"/>
      <c r="N156" s="299">
        <f>N155</f>
        <v>0.5</v>
      </c>
    </row>
    <row r="157" spans="1:14" s="292" customFormat="1" ht="24.95" customHeight="1">
      <c r="A157" s="289" t="s">
        <v>1046</v>
      </c>
      <c r="B157" s="320" t="s">
        <v>1047</v>
      </c>
      <c r="C157" s="294" t="s">
        <v>49</v>
      </c>
      <c r="D157" s="299" t="s">
        <v>104</v>
      </c>
      <c r="E157" s="316" t="s">
        <v>24</v>
      </c>
      <c r="F157" s="549">
        <f>165*N157</f>
        <v>82.5</v>
      </c>
      <c r="G157" s="317">
        <f t="shared" si="14"/>
        <v>82.5</v>
      </c>
      <c r="H157" s="318" t="s">
        <v>1055</v>
      </c>
      <c r="I157" s="296" t="s">
        <v>187</v>
      </c>
      <c r="J157" s="297">
        <v>30</v>
      </c>
      <c r="K157" s="299">
        <v>2025</v>
      </c>
      <c r="L157" s="299"/>
      <c r="M157" s="299"/>
      <c r="N157" s="299">
        <f t="shared" ref="N157:N163" si="15">N156</f>
        <v>0.5</v>
      </c>
    </row>
    <row r="158" spans="1:14" s="292" customFormat="1" ht="24.95" customHeight="1">
      <c r="A158" s="289" t="s">
        <v>1046</v>
      </c>
      <c r="B158" s="320" t="s">
        <v>1047</v>
      </c>
      <c r="C158" s="294" t="s">
        <v>51</v>
      </c>
      <c r="D158" s="299" t="s">
        <v>105</v>
      </c>
      <c r="E158" s="316" t="s">
        <v>26</v>
      </c>
      <c r="F158" s="549">
        <f>197*N158</f>
        <v>98.5</v>
      </c>
      <c r="G158" s="317">
        <f t="shared" si="14"/>
        <v>98.5</v>
      </c>
      <c r="H158" s="318" t="s">
        <v>1055</v>
      </c>
      <c r="I158" s="296" t="s">
        <v>187</v>
      </c>
      <c r="J158" s="297">
        <v>35</v>
      </c>
      <c r="K158" s="299">
        <v>2025</v>
      </c>
      <c r="L158" s="299"/>
      <c r="M158" s="299"/>
      <c r="N158" s="299">
        <f t="shared" si="15"/>
        <v>0.5</v>
      </c>
    </row>
    <row r="159" spans="1:14" s="292" customFormat="1" ht="24.95" customHeight="1">
      <c r="A159" s="289" t="s">
        <v>1046</v>
      </c>
      <c r="B159" s="320" t="s">
        <v>1047</v>
      </c>
      <c r="C159" s="294" t="s">
        <v>53</v>
      </c>
      <c r="D159" s="299" t="s">
        <v>106</v>
      </c>
      <c r="E159" s="316" t="s">
        <v>28</v>
      </c>
      <c r="F159" s="549">
        <f>210*N159</f>
        <v>105</v>
      </c>
      <c r="G159" s="317">
        <f t="shared" si="14"/>
        <v>105</v>
      </c>
      <c r="H159" s="318" t="s">
        <v>1055</v>
      </c>
      <c r="I159" s="296" t="s">
        <v>187</v>
      </c>
      <c r="J159" s="297">
        <v>50</v>
      </c>
      <c r="K159" s="299">
        <v>2025</v>
      </c>
      <c r="L159" s="299"/>
      <c r="M159" s="299"/>
      <c r="N159" s="299">
        <f t="shared" si="15"/>
        <v>0.5</v>
      </c>
    </row>
    <row r="160" spans="1:14" s="292" customFormat="1" ht="24.95" customHeight="1">
      <c r="A160" s="289" t="s">
        <v>1046</v>
      </c>
      <c r="B160" s="320" t="s">
        <v>1047</v>
      </c>
      <c r="C160" s="294" t="s">
        <v>55</v>
      </c>
      <c r="D160" s="299" t="s">
        <v>107</v>
      </c>
      <c r="E160" s="316" t="s">
        <v>30</v>
      </c>
      <c r="F160" s="549">
        <f>234*N160</f>
        <v>117</v>
      </c>
      <c r="G160" s="317">
        <f t="shared" si="14"/>
        <v>117</v>
      </c>
      <c r="H160" s="318" t="s">
        <v>1055</v>
      </c>
      <c r="I160" s="296" t="s">
        <v>187</v>
      </c>
      <c r="J160" s="297">
        <v>55</v>
      </c>
      <c r="K160" s="299">
        <v>2025</v>
      </c>
      <c r="L160" s="299"/>
      <c r="M160" s="299"/>
      <c r="N160" s="299">
        <f t="shared" si="15"/>
        <v>0.5</v>
      </c>
    </row>
    <row r="161" spans="1:14" s="292" customFormat="1" ht="24.95" customHeight="1">
      <c r="A161" s="289" t="s">
        <v>1046</v>
      </c>
      <c r="B161" s="320" t="s">
        <v>1047</v>
      </c>
      <c r="C161" s="294" t="s">
        <v>57</v>
      </c>
      <c r="D161" s="299" t="s">
        <v>31</v>
      </c>
      <c r="E161" s="316" t="s">
        <v>32</v>
      </c>
      <c r="F161" s="549">
        <f>337*N161</f>
        <v>168.5</v>
      </c>
      <c r="G161" s="317">
        <f t="shared" si="14"/>
        <v>168.5</v>
      </c>
      <c r="H161" s="318" t="s">
        <v>1055</v>
      </c>
      <c r="I161" s="296" t="s">
        <v>187</v>
      </c>
      <c r="J161" s="297">
        <v>75</v>
      </c>
      <c r="K161" s="299">
        <v>2025</v>
      </c>
      <c r="L161" s="299"/>
      <c r="M161" s="299"/>
      <c r="N161" s="299">
        <f t="shared" si="15"/>
        <v>0.5</v>
      </c>
    </row>
    <row r="162" spans="1:14" s="292" customFormat="1" ht="24.95" customHeight="1">
      <c r="A162" s="289" t="s">
        <v>1046</v>
      </c>
      <c r="B162" s="320" t="s">
        <v>1047</v>
      </c>
      <c r="C162" s="294" t="s">
        <v>59</v>
      </c>
      <c r="D162" s="299" t="s">
        <v>1053</v>
      </c>
      <c r="E162" s="316" t="s">
        <v>34</v>
      </c>
      <c r="F162" s="549">
        <f>503*N162</f>
        <v>251.5</v>
      </c>
      <c r="G162" s="317">
        <f t="shared" si="14"/>
        <v>335.5</v>
      </c>
      <c r="H162" s="318" t="s">
        <v>1055</v>
      </c>
      <c r="I162" s="296" t="s">
        <v>187</v>
      </c>
      <c r="J162" s="297">
        <v>120</v>
      </c>
      <c r="K162" s="299">
        <v>2025</v>
      </c>
      <c r="L162" s="299"/>
      <c r="M162" s="299">
        <v>84</v>
      </c>
      <c r="N162" s="299">
        <f t="shared" si="15"/>
        <v>0.5</v>
      </c>
    </row>
    <row r="163" spans="1:14" s="292" customFormat="1" ht="24.95" customHeight="1">
      <c r="A163" s="289" t="s">
        <v>1046</v>
      </c>
      <c r="B163" s="320" t="s">
        <v>1047</v>
      </c>
      <c r="C163" s="294" t="s">
        <v>60</v>
      </c>
      <c r="D163" s="299" t="s">
        <v>1054</v>
      </c>
      <c r="E163" s="316">
        <v>3</v>
      </c>
      <c r="F163" s="549">
        <f>597*N163</f>
        <v>298.5</v>
      </c>
      <c r="G163" s="317">
        <f t="shared" si="14"/>
        <v>404.5</v>
      </c>
      <c r="H163" s="318" t="s">
        <v>1055</v>
      </c>
      <c r="I163" s="296" t="s">
        <v>187</v>
      </c>
      <c r="J163" s="297">
        <v>150</v>
      </c>
      <c r="K163" s="299">
        <v>2025</v>
      </c>
      <c r="L163" s="299"/>
      <c r="M163" s="299">
        <v>106</v>
      </c>
      <c r="N163" s="299">
        <f t="shared" si="15"/>
        <v>0.5</v>
      </c>
    </row>
    <row r="164" spans="1:14" s="292" customFormat="1" ht="24.95" customHeight="1">
      <c r="A164" s="301"/>
      <c r="B164" s="302"/>
      <c r="C164" s="302"/>
      <c r="D164" s="302"/>
      <c r="E164" s="302"/>
      <c r="F164" s="546"/>
      <c r="G164" s="302"/>
      <c r="H164" s="302"/>
      <c r="I164" s="302"/>
      <c r="J164" s="302"/>
      <c r="K164" s="302"/>
      <c r="L164" s="302"/>
      <c r="M164" s="302"/>
      <c r="N164" s="290"/>
    </row>
    <row r="165" spans="1:14" s="292" customFormat="1" ht="24.95" customHeight="1">
      <c r="A165" s="289" t="s">
        <v>1046</v>
      </c>
      <c r="B165" s="320" t="s">
        <v>1047</v>
      </c>
      <c r="C165" s="294" t="s">
        <v>49</v>
      </c>
      <c r="D165" s="299" t="s">
        <v>104</v>
      </c>
      <c r="E165" s="316" t="s">
        <v>24</v>
      </c>
      <c r="F165" s="687">
        <f>165*N165</f>
        <v>82.5</v>
      </c>
      <c r="G165" s="317">
        <f>F165+M165</f>
        <v>102.5</v>
      </c>
      <c r="H165" s="318" t="s">
        <v>1055</v>
      </c>
      <c r="I165" s="296" t="s">
        <v>1056</v>
      </c>
      <c r="J165" s="297">
        <f>'robocizna GCH'!G194</f>
        <v>30</v>
      </c>
      <c r="K165" s="299">
        <v>2025</v>
      </c>
      <c r="L165" s="299"/>
      <c r="M165" s="299">
        <v>20</v>
      </c>
      <c r="N165" s="299">
        <f>N158</f>
        <v>0.5</v>
      </c>
    </row>
    <row r="166" spans="1:14" s="292" customFormat="1" ht="24.95" customHeight="1">
      <c r="A166" s="289" t="s">
        <v>1046</v>
      </c>
      <c r="B166" s="320" t="s">
        <v>1047</v>
      </c>
      <c r="C166" s="294" t="s">
        <v>51</v>
      </c>
      <c r="D166" s="299" t="s">
        <v>105</v>
      </c>
      <c r="E166" s="316" t="s">
        <v>26</v>
      </c>
      <c r="F166" s="687">
        <f>183*0.5</f>
        <v>91.5</v>
      </c>
      <c r="G166" s="317">
        <f t="shared" ref="G166:G170" si="16">F166+M166</f>
        <v>116.5</v>
      </c>
      <c r="H166" s="318" t="s">
        <v>1055</v>
      </c>
      <c r="I166" s="296" t="s">
        <v>1056</v>
      </c>
      <c r="J166" s="297">
        <f>'robocizna GCH'!G195</f>
        <v>35</v>
      </c>
      <c r="K166" s="299">
        <v>2025</v>
      </c>
      <c r="L166" s="299"/>
      <c r="M166" s="299">
        <v>25</v>
      </c>
      <c r="N166" s="299">
        <f t="shared" ref="N166:N170" si="17">N159</f>
        <v>0.5</v>
      </c>
    </row>
    <row r="167" spans="1:14" s="292" customFormat="1" ht="24.95" customHeight="1">
      <c r="A167" s="289" t="s">
        <v>1046</v>
      </c>
      <c r="B167" s="320" t="s">
        <v>1047</v>
      </c>
      <c r="C167" s="294" t="s">
        <v>53</v>
      </c>
      <c r="D167" s="299" t="s">
        <v>106</v>
      </c>
      <c r="E167" s="316" t="s">
        <v>28</v>
      </c>
      <c r="F167" s="687">
        <f>219*0.5</f>
        <v>109.5</v>
      </c>
      <c r="G167" s="317">
        <f t="shared" si="16"/>
        <v>139.5</v>
      </c>
      <c r="H167" s="318" t="s">
        <v>1055</v>
      </c>
      <c r="I167" s="296" t="s">
        <v>1056</v>
      </c>
      <c r="J167" s="297">
        <f>'robocizna GCH'!G196</f>
        <v>50</v>
      </c>
      <c r="K167" s="299">
        <v>2025</v>
      </c>
      <c r="L167" s="299"/>
      <c r="M167" s="299">
        <v>30</v>
      </c>
      <c r="N167" s="299">
        <f t="shared" si="17"/>
        <v>0.5</v>
      </c>
    </row>
    <row r="168" spans="1:14" s="292" customFormat="1" ht="24.95" customHeight="1">
      <c r="A168" s="289" t="s">
        <v>1046</v>
      </c>
      <c r="B168" s="320" t="s">
        <v>1047</v>
      </c>
      <c r="C168" s="294" t="s">
        <v>55</v>
      </c>
      <c r="D168" s="299" t="s">
        <v>107</v>
      </c>
      <c r="E168" s="316" t="s">
        <v>30</v>
      </c>
      <c r="F168" s="687">
        <f>279*0.5</f>
        <v>139.5</v>
      </c>
      <c r="G168" s="317">
        <f t="shared" si="16"/>
        <v>179.5</v>
      </c>
      <c r="H168" s="318" t="s">
        <v>1055</v>
      </c>
      <c r="I168" s="296" t="s">
        <v>1056</v>
      </c>
      <c r="J168" s="297">
        <f>'robocizna GCH'!G197</f>
        <v>55</v>
      </c>
      <c r="K168" s="299">
        <v>2025</v>
      </c>
      <c r="L168" s="299"/>
      <c r="M168" s="299">
        <v>40</v>
      </c>
      <c r="N168" s="299">
        <f t="shared" si="17"/>
        <v>0.5</v>
      </c>
    </row>
    <row r="169" spans="1:14" s="292" customFormat="1" ht="24.95" customHeight="1">
      <c r="A169" s="289" t="s">
        <v>1046</v>
      </c>
      <c r="B169" s="320" t="s">
        <v>1047</v>
      </c>
      <c r="C169" s="294" t="s">
        <v>57</v>
      </c>
      <c r="D169" s="299" t="s">
        <v>31</v>
      </c>
      <c r="E169" s="316" t="s">
        <v>32</v>
      </c>
      <c r="F169" s="687">
        <f>321*0.5</f>
        <v>160.5</v>
      </c>
      <c r="G169" s="317">
        <f t="shared" si="16"/>
        <v>210.5</v>
      </c>
      <c r="H169" s="318" t="s">
        <v>1055</v>
      </c>
      <c r="I169" s="296" t="s">
        <v>1056</v>
      </c>
      <c r="J169" s="297">
        <f>'robocizna GCH'!G198</f>
        <v>75</v>
      </c>
      <c r="K169" s="299">
        <v>2025</v>
      </c>
      <c r="L169" s="299"/>
      <c r="M169" s="299">
        <v>50</v>
      </c>
      <c r="N169" s="299">
        <f t="shared" si="17"/>
        <v>0.5</v>
      </c>
    </row>
    <row r="170" spans="1:14" s="292" customFormat="1" ht="24.95" customHeight="1">
      <c r="A170" s="289" t="s">
        <v>1046</v>
      </c>
      <c r="B170" s="320" t="s">
        <v>1047</v>
      </c>
      <c r="C170" s="294" t="s">
        <v>59</v>
      </c>
      <c r="D170" s="299" t="s">
        <v>1053</v>
      </c>
      <c r="E170" s="316" t="s">
        <v>34</v>
      </c>
      <c r="F170" s="549">
        <f>487*N170</f>
        <v>243.5</v>
      </c>
      <c r="G170" s="317">
        <f t="shared" si="16"/>
        <v>327.5</v>
      </c>
      <c r="H170" s="318" t="s">
        <v>1055</v>
      </c>
      <c r="I170" s="296" t="s">
        <v>1056</v>
      </c>
      <c r="J170" s="297">
        <v>120</v>
      </c>
      <c r="K170" s="299">
        <v>2025</v>
      </c>
      <c r="L170" s="299"/>
      <c r="M170" s="299">
        <v>84</v>
      </c>
      <c r="N170" s="299">
        <f t="shared" si="17"/>
        <v>0.5</v>
      </c>
    </row>
    <row r="171" spans="1:14" s="292" customFormat="1" ht="24.95" customHeight="1">
      <c r="A171" s="289" t="s">
        <v>1046</v>
      </c>
      <c r="B171" s="320" t="s">
        <v>1047</v>
      </c>
      <c r="C171" s="294" t="s">
        <v>60</v>
      </c>
      <c r="D171" s="299" t="s">
        <v>1054</v>
      </c>
      <c r="E171" s="316">
        <v>3</v>
      </c>
      <c r="F171" s="549">
        <f>618*N171</f>
        <v>309</v>
      </c>
      <c r="G171" s="317">
        <f t="shared" ref="G171:G179" si="18">F171+M171</f>
        <v>415</v>
      </c>
      <c r="H171" s="318" t="s">
        <v>1055</v>
      </c>
      <c r="I171" s="296" t="s">
        <v>1056</v>
      </c>
      <c r="J171" s="297">
        <v>150</v>
      </c>
      <c r="K171" s="299">
        <v>2025</v>
      </c>
      <c r="L171" s="299"/>
      <c r="M171" s="299">
        <v>106</v>
      </c>
      <c r="N171" s="299">
        <f>N170</f>
        <v>0.5</v>
      </c>
    </row>
    <row r="172" spans="1:14" s="292" customFormat="1" ht="24.95" customHeight="1">
      <c r="A172" s="289" t="s">
        <v>1046</v>
      </c>
      <c r="B172" s="320" t="s">
        <v>1047</v>
      </c>
      <c r="C172" s="294" t="s">
        <v>62</v>
      </c>
      <c r="D172" s="319" t="s">
        <v>210</v>
      </c>
      <c r="E172" s="316">
        <v>4</v>
      </c>
      <c r="F172" s="549">
        <f>869*N172</f>
        <v>434.5</v>
      </c>
      <c r="G172" s="317">
        <f t="shared" si="18"/>
        <v>560.5</v>
      </c>
      <c r="H172" s="318" t="s">
        <v>1055</v>
      </c>
      <c r="I172" s="296" t="s">
        <v>1056</v>
      </c>
      <c r="J172" s="297">
        <v>162</v>
      </c>
      <c r="K172" s="299">
        <v>2025</v>
      </c>
      <c r="L172" s="299"/>
      <c r="M172" s="299">
        <v>126</v>
      </c>
      <c r="N172" s="299">
        <f t="shared" ref="N172:N179" si="19">N171</f>
        <v>0.5</v>
      </c>
    </row>
    <row r="173" spans="1:14" s="292" customFormat="1" ht="24.95" customHeight="1">
      <c r="A173" s="289" t="s">
        <v>1046</v>
      </c>
      <c r="B173" s="320" t="s">
        <v>1047</v>
      </c>
      <c r="C173" s="294" t="s">
        <v>63</v>
      </c>
      <c r="D173" s="319" t="s">
        <v>168</v>
      </c>
      <c r="E173" s="316">
        <v>5</v>
      </c>
      <c r="F173" s="549">
        <f>1322*N173</f>
        <v>661</v>
      </c>
      <c r="G173" s="317">
        <f t="shared" si="18"/>
        <v>865</v>
      </c>
      <c r="H173" s="318" t="s">
        <v>1055</v>
      </c>
      <c r="I173" s="296" t="s">
        <v>1056</v>
      </c>
      <c r="J173" s="297">
        <v>200</v>
      </c>
      <c r="K173" s="299">
        <v>2025</v>
      </c>
      <c r="L173" s="299"/>
      <c r="M173" s="299">
        <v>204</v>
      </c>
      <c r="N173" s="299">
        <f t="shared" si="19"/>
        <v>0.5</v>
      </c>
    </row>
    <row r="174" spans="1:14" s="292" customFormat="1" ht="24.95" customHeight="1">
      <c r="A174" s="289" t="s">
        <v>1046</v>
      </c>
      <c r="B174" s="320" t="s">
        <v>1047</v>
      </c>
      <c r="C174" s="294" t="s">
        <v>66</v>
      </c>
      <c r="D174" s="319" t="s">
        <v>169</v>
      </c>
      <c r="E174" s="316">
        <v>6</v>
      </c>
      <c r="F174" s="549">
        <f>1778*N174</f>
        <v>889</v>
      </c>
      <c r="G174" s="317">
        <f t="shared" si="18"/>
        <v>1115</v>
      </c>
      <c r="H174" s="318" t="s">
        <v>1055</v>
      </c>
      <c r="I174" s="296" t="s">
        <v>1056</v>
      </c>
      <c r="J174" s="297">
        <v>250</v>
      </c>
      <c r="K174" s="299">
        <v>2025</v>
      </c>
      <c r="L174" s="299"/>
      <c r="M174" s="299">
        <v>226</v>
      </c>
      <c r="N174" s="299">
        <f t="shared" si="19"/>
        <v>0.5</v>
      </c>
    </row>
    <row r="175" spans="1:14" s="292" customFormat="1" ht="24.95" customHeight="1">
      <c r="A175" s="289" t="s">
        <v>1046</v>
      </c>
      <c r="B175" s="320" t="s">
        <v>1047</v>
      </c>
      <c r="C175" s="294" t="s">
        <v>121</v>
      </c>
      <c r="D175" s="319" t="s">
        <v>170</v>
      </c>
      <c r="E175" s="316">
        <v>8</v>
      </c>
      <c r="F175" s="549">
        <f>3149*N175</f>
        <v>1574.5</v>
      </c>
      <c r="G175" s="317">
        <f t="shared" si="18"/>
        <v>1914.5</v>
      </c>
      <c r="H175" s="318" t="s">
        <v>1055</v>
      </c>
      <c r="I175" s="296" t="s">
        <v>1056</v>
      </c>
      <c r="J175" s="297">
        <v>325</v>
      </c>
      <c r="K175" s="299">
        <v>2025</v>
      </c>
      <c r="L175" s="299"/>
      <c r="M175" s="299">
        <v>340</v>
      </c>
      <c r="N175" s="299">
        <f t="shared" si="19"/>
        <v>0.5</v>
      </c>
    </row>
    <row r="176" spans="1:14" s="292" customFormat="1" ht="24.95" customHeight="1">
      <c r="A176" s="289" t="s">
        <v>1046</v>
      </c>
      <c r="B176" s="320" t="s">
        <v>1047</v>
      </c>
      <c r="C176" s="294" t="s">
        <v>122</v>
      </c>
      <c r="D176" s="319" t="s">
        <v>171</v>
      </c>
      <c r="E176" s="316">
        <v>10</v>
      </c>
      <c r="F176" s="549">
        <f>7569*N176</f>
        <v>3784.5</v>
      </c>
      <c r="G176" s="317">
        <f t="shared" si="18"/>
        <v>4288.5</v>
      </c>
      <c r="H176" s="318" t="s">
        <v>1055</v>
      </c>
      <c r="I176" s="296" t="s">
        <v>1056</v>
      </c>
      <c r="J176" s="297">
        <v>400</v>
      </c>
      <c r="K176" s="299">
        <v>2025</v>
      </c>
      <c r="L176" s="299"/>
      <c r="M176" s="299">
        <v>504</v>
      </c>
      <c r="N176" s="299">
        <f t="shared" si="19"/>
        <v>0.5</v>
      </c>
    </row>
    <row r="177" spans="1:14" s="292" customFormat="1" ht="24.95" customHeight="1">
      <c r="A177" s="289" t="s">
        <v>1046</v>
      </c>
      <c r="B177" s="320" t="s">
        <v>1047</v>
      </c>
      <c r="C177" s="294" t="s">
        <v>156</v>
      </c>
      <c r="D177" s="319" t="s">
        <v>172</v>
      </c>
      <c r="E177" s="316">
        <v>12</v>
      </c>
      <c r="F177" s="549">
        <f>16242*N177</f>
        <v>8121</v>
      </c>
      <c r="G177" s="317">
        <f t="shared" si="18"/>
        <v>8805</v>
      </c>
      <c r="H177" s="318" t="s">
        <v>1055</v>
      </c>
      <c r="I177" s="296" t="s">
        <v>1056</v>
      </c>
      <c r="J177" s="297">
        <v>487</v>
      </c>
      <c r="K177" s="299">
        <v>2025</v>
      </c>
      <c r="L177" s="299"/>
      <c r="M177" s="299">
        <v>684</v>
      </c>
      <c r="N177" s="299">
        <f t="shared" si="19"/>
        <v>0.5</v>
      </c>
    </row>
    <row r="178" spans="1:14" s="292" customFormat="1" ht="24.95" customHeight="1">
      <c r="A178" s="289" t="s">
        <v>1046</v>
      </c>
      <c r="B178" s="320" t="s">
        <v>1047</v>
      </c>
      <c r="C178" s="294" t="s">
        <v>158</v>
      </c>
      <c r="D178" s="319" t="s">
        <v>175</v>
      </c>
      <c r="E178" s="316">
        <v>14</v>
      </c>
      <c r="F178" s="549">
        <f>25321*N178</f>
        <v>12660.5</v>
      </c>
      <c r="G178" s="317">
        <f t="shared" si="18"/>
        <v>13806.5</v>
      </c>
      <c r="H178" s="318" t="s">
        <v>1055</v>
      </c>
      <c r="I178" s="296" t="s">
        <v>1056</v>
      </c>
      <c r="J178" s="297">
        <v>562</v>
      </c>
      <c r="K178" s="299">
        <v>2025</v>
      </c>
      <c r="L178" s="299"/>
      <c r="M178" s="299">
        <v>1146</v>
      </c>
      <c r="N178" s="299">
        <f t="shared" si="19"/>
        <v>0.5</v>
      </c>
    </row>
    <row r="179" spans="1:14" s="292" customFormat="1" ht="24.95" customHeight="1">
      <c r="A179" s="289" t="s">
        <v>1046</v>
      </c>
      <c r="B179" s="320" t="s">
        <v>1047</v>
      </c>
      <c r="C179" s="294" t="s">
        <v>176</v>
      </c>
      <c r="D179" s="319" t="s">
        <v>177</v>
      </c>
      <c r="E179" s="316">
        <v>16</v>
      </c>
      <c r="F179" s="549">
        <f>32165*N179</f>
        <v>16082.5</v>
      </c>
      <c r="G179" s="317">
        <f t="shared" si="18"/>
        <v>17426.5</v>
      </c>
      <c r="H179" s="318" t="s">
        <v>1055</v>
      </c>
      <c r="I179" s="296" t="s">
        <v>1056</v>
      </c>
      <c r="J179" s="297">
        <v>650</v>
      </c>
      <c r="K179" s="299">
        <v>2025</v>
      </c>
      <c r="L179" s="299"/>
      <c r="M179" s="299">
        <v>1344</v>
      </c>
      <c r="N179" s="299">
        <f t="shared" si="19"/>
        <v>0.5</v>
      </c>
    </row>
    <row r="180" spans="1:14" s="292" customFormat="1" ht="24.95" customHeight="1">
      <c r="A180" s="301"/>
      <c r="B180" s="302"/>
      <c r="C180" s="302"/>
      <c r="D180" s="302"/>
      <c r="E180" s="302"/>
      <c r="F180" s="546"/>
      <c r="G180" s="302"/>
      <c r="H180" s="302"/>
      <c r="I180" s="302"/>
      <c r="J180" s="314"/>
      <c r="K180" s="302"/>
      <c r="L180" s="302"/>
      <c r="M180" s="302"/>
      <c r="N180" s="290"/>
    </row>
    <row r="181" spans="1:14" s="292" customFormat="1" ht="24.95" customHeight="1">
      <c r="A181" s="289" t="s">
        <v>1046</v>
      </c>
      <c r="B181" s="293" t="s">
        <v>173</v>
      </c>
      <c r="C181" s="294" t="s">
        <v>53</v>
      </c>
      <c r="D181" s="299" t="s">
        <v>106</v>
      </c>
      <c r="E181" s="316" t="s">
        <v>28</v>
      </c>
      <c r="F181" s="549">
        <f>464*N181</f>
        <v>232</v>
      </c>
      <c r="G181" s="317">
        <f>F181+M181</f>
        <v>262</v>
      </c>
      <c r="H181" s="318" t="s">
        <v>1055</v>
      </c>
      <c r="I181" s="296" t="s">
        <v>189</v>
      </c>
      <c r="J181" s="297">
        <v>50</v>
      </c>
      <c r="K181" s="299">
        <v>2025</v>
      </c>
      <c r="L181" s="299"/>
      <c r="M181" s="299">
        <v>30</v>
      </c>
      <c r="N181" s="299">
        <f>N179</f>
        <v>0.5</v>
      </c>
    </row>
    <row r="182" spans="1:14" s="292" customFormat="1" ht="24.95" customHeight="1">
      <c r="A182" s="289" t="s">
        <v>1046</v>
      </c>
      <c r="B182" s="293" t="s">
        <v>173</v>
      </c>
      <c r="C182" s="294" t="s">
        <v>55</v>
      </c>
      <c r="D182" s="299" t="s">
        <v>107</v>
      </c>
      <c r="E182" s="316" t="s">
        <v>30</v>
      </c>
      <c r="F182" s="549">
        <f>464*N182</f>
        <v>232</v>
      </c>
      <c r="G182" s="317">
        <f t="shared" ref="G182:G195" si="20">F182+M182</f>
        <v>272</v>
      </c>
      <c r="H182" s="318" t="s">
        <v>1055</v>
      </c>
      <c r="I182" s="296" t="s">
        <v>189</v>
      </c>
      <c r="J182" s="297">
        <v>55</v>
      </c>
      <c r="K182" s="299">
        <v>2025</v>
      </c>
      <c r="L182" s="299"/>
      <c r="M182" s="299">
        <v>40</v>
      </c>
      <c r="N182" s="299">
        <f t="shared" ref="N182:N195" si="21">0.5</f>
        <v>0.5</v>
      </c>
    </row>
    <row r="183" spans="1:14" s="292" customFormat="1" ht="24.95" customHeight="1">
      <c r="A183" s="289" t="s">
        <v>1046</v>
      </c>
      <c r="B183" s="293" t="s">
        <v>173</v>
      </c>
      <c r="C183" s="294" t="s">
        <v>57</v>
      </c>
      <c r="D183" s="299" t="s">
        <v>31</v>
      </c>
      <c r="E183" s="316" t="s">
        <v>32</v>
      </c>
      <c r="F183" s="549">
        <f>483*N183</f>
        <v>241.5</v>
      </c>
      <c r="G183" s="317">
        <f t="shared" si="20"/>
        <v>291.5</v>
      </c>
      <c r="H183" s="318" t="s">
        <v>1055</v>
      </c>
      <c r="I183" s="296" t="s">
        <v>189</v>
      </c>
      <c r="J183" s="297">
        <v>75</v>
      </c>
      <c r="K183" s="299">
        <v>2025</v>
      </c>
      <c r="L183" s="299"/>
      <c r="M183" s="299">
        <v>50</v>
      </c>
      <c r="N183" s="299">
        <f t="shared" si="21"/>
        <v>0.5</v>
      </c>
    </row>
    <row r="184" spans="1:14" s="292" customFormat="1" ht="24.95" customHeight="1">
      <c r="A184" s="289" t="s">
        <v>1046</v>
      </c>
      <c r="B184" s="293" t="s">
        <v>173</v>
      </c>
      <c r="C184" s="294" t="s">
        <v>59</v>
      </c>
      <c r="D184" s="299" t="s">
        <v>1053</v>
      </c>
      <c r="E184" s="316" t="s">
        <v>34</v>
      </c>
      <c r="F184" s="549">
        <f>547*N184</f>
        <v>273.5</v>
      </c>
      <c r="G184" s="317">
        <f t="shared" si="20"/>
        <v>357.5</v>
      </c>
      <c r="H184" s="318" t="s">
        <v>1055</v>
      </c>
      <c r="I184" s="296" t="s">
        <v>189</v>
      </c>
      <c r="J184" s="297">
        <v>120</v>
      </c>
      <c r="K184" s="299">
        <v>2025</v>
      </c>
      <c r="L184" s="299"/>
      <c r="M184" s="299">
        <v>84</v>
      </c>
      <c r="N184" s="299">
        <f t="shared" si="21"/>
        <v>0.5</v>
      </c>
    </row>
    <row r="185" spans="1:14" s="292" customFormat="1" ht="24.95" customHeight="1">
      <c r="A185" s="289" t="s">
        <v>1046</v>
      </c>
      <c r="B185" s="293" t="s">
        <v>173</v>
      </c>
      <c r="C185" s="294" t="s">
        <v>60</v>
      </c>
      <c r="D185" s="299" t="s">
        <v>1054</v>
      </c>
      <c r="E185" s="316">
        <v>3</v>
      </c>
      <c r="F185" s="549">
        <f>593*N185</f>
        <v>296.5</v>
      </c>
      <c r="G185" s="317">
        <f t="shared" si="20"/>
        <v>402.5</v>
      </c>
      <c r="H185" s="318" t="s">
        <v>1055</v>
      </c>
      <c r="I185" s="296" t="s">
        <v>189</v>
      </c>
      <c r="J185" s="297">
        <v>150</v>
      </c>
      <c r="K185" s="299">
        <v>2025</v>
      </c>
      <c r="L185" s="299"/>
      <c r="M185" s="299">
        <v>106</v>
      </c>
      <c r="N185" s="299">
        <f t="shared" si="21"/>
        <v>0.5</v>
      </c>
    </row>
    <row r="186" spans="1:14" s="292" customFormat="1" ht="24.95" customHeight="1">
      <c r="A186" s="289" t="s">
        <v>1046</v>
      </c>
      <c r="B186" s="293" t="s">
        <v>173</v>
      </c>
      <c r="C186" s="294" t="s">
        <v>62</v>
      </c>
      <c r="D186" s="319" t="s">
        <v>210</v>
      </c>
      <c r="E186" s="316">
        <v>4</v>
      </c>
      <c r="F186" s="549">
        <f>665*N186</f>
        <v>332.5</v>
      </c>
      <c r="G186" s="317">
        <f t="shared" si="20"/>
        <v>458.5</v>
      </c>
      <c r="H186" s="318" t="s">
        <v>1055</v>
      </c>
      <c r="I186" s="296" t="s">
        <v>189</v>
      </c>
      <c r="J186" s="297">
        <v>162</v>
      </c>
      <c r="K186" s="299">
        <v>2025</v>
      </c>
      <c r="L186" s="299"/>
      <c r="M186" s="299">
        <v>126</v>
      </c>
      <c r="N186" s="299">
        <f t="shared" si="21"/>
        <v>0.5</v>
      </c>
    </row>
    <row r="187" spans="1:14" s="292" customFormat="1" ht="24.95" customHeight="1">
      <c r="A187" s="289" t="s">
        <v>1046</v>
      </c>
      <c r="B187" s="293" t="s">
        <v>173</v>
      </c>
      <c r="C187" s="294" t="s">
        <v>63</v>
      </c>
      <c r="D187" s="319" t="s">
        <v>168</v>
      </c>
      <c r="E187" s="316">
        <v>5</v>
      </c>
      <c r="F187" s="549">
        <f>848*N187</f>
        <v>424</v>
      </c>
      <c r="G187" s="317">
        <f t="shared" si="20"/>
        <v>628</v>
      </c>
      <c r="H187" s="318" t="s">
        <v>1055</v>
      </c>
      <c r="I187" s="296" t="s">
        <v>189</v>
      </c>
      <c r="J187" s="297">
        <v>200</v>
      </c>
      <c r="K187" s="299">
        <v>2025</v>
      </c>
      <c r="L187" s="299"/>
      <c r="M187" s="299">
        <v>204</v>
      </c>
      <c r="N187" s="299">
        <f t="shared" si="21"/>
        <v>0.5</v>
      </c>
    </row>
    <row r="188" spans="1:14" s="292" customFormat="1" ht="24.95" customHeight="1">
      <c r="A188" s="289" t="s">
        <v>1046</v>
      </c>
      <c r="B188" s="293" t="s">
        <v>173</v>
      </c>
      <c r="C188" s="294" t="s">
        <v>66</v>
      </c>
      <c r="D188" s="319" t="s">
        <v>169</v>
      </c>
      <c r="E188" s="316">
        <v>6</v>
      </c>
      <c r="F188" s="549">
        <f>958*N188</f>
        <v>479</v>
      </c>
      <c r="G188" s="317">
        <f t="shared" si="20"/>
        <v>705</v>
      </c>
      <c r="H188" s="318" t="s">
        <v>1055</v>
      </c>
      <c r="I188" s="296" t="s">
        <v>189</v>
      </c>
      <c r="J188" s="297">
        <v>250</v>
      </c>
      <c r="K188" s="299">
        <v>2025</v>
      </c>
      <c r="L188" s="299"/>
      <c r="M188" s="299">
        <v>226</v>
      </c>
      <c r="N188" s="299">
        <f t="shared" si="21"/>
        <v>0.5</v>
      </c>
    </row>
    <row r="189" spans="1:14" s="292" customFormat="1" ht="24.95" customHeight="1">
      <c r="A189" s="289" t="s">
        <v>1046</v>
      </c>
      <c r="B189" s="293" t="s">
        <v>173</v>
      </c>
      <c r="C189" s="294" t="s">
        <v>121</v>
      </c>
      <c r="D189" s="319" t="s">
        <v>170</v>
      </c>
      <c r="E189" s="316">
        <v>8</v>
      </c>
      <c r="F189" s="549">
        <f>1348*N189</f>
        <v>674</v>
      </c>
      <c r="G189" s="317">
        <f t="shared" si="20"/>
        <v>1014</v>
      </c>
      <c r="H189" s="318" t="s">
        <v>1055</v>
      </c>
      <c r="I189" s="296" t="s">
        <v>189</v>
      </c>
      <c r="J189" s="297">
        <v>325</v>
      </c>
      <c r="K189" s="299">
        <v>2025</v>
      </c>
      <c r="L189" s="299"/>
      <c r="M189" s="299">
        <v>340</v>
      </c>
      <c r="N189" s="299">
        <f t="shared" si="21"/>
        <v>0.5</v>
      </c>
    </row>
    <row r="190" spans="1:14" s="292" customFormat="1" ht="24.95" customHeight="1">
      <c r="A190" s="289" t="s">
        <v>1046</v>
      </c>
      <c r="B190" s="293" t="s">
        <v>173</v>
      </c>
      <c r="C190" s="294" t="s">
        <v>122</v>
      </c>
      <c r="D190" s="319" t="s">
        <v>171</v>
      </c>
      <c r="E190" s="316">
        <v>10</v>
      </c>
      <c r="F190" s="549">
        <f>2090*N190</f>
        <v>1045</v>
      </c>
      <c r="G190" s="317">
        <f t="shared" si="20"/>
        <v>1549</v>
      </c>
      <c r="H190" s="318" t="s">
        <v>1055</v>
      </c>
      <c r="I190" s="296" t="s">
        <v>189</v>
      </c>
      <c r="J190" s="297">
        <v>400</v>
      </c>
      <c r="K190" s="299">
        <v>2025</v>
      </c>
      <c r="L190" s="299"/>
      <c r="M190" s="299">
        <v>504</v>
      </c>
      <c r="N190" s="299">
        <f t="shared" si="21"/>
        <v>0.5</v>
      </c>
    </row>
    <row r="191" spans="1:14" s="292" customFormat="1" ht="24.95" customHeight="1">
      <c r="A191" s="289" t="s">
        <v>1046</v>
      </c>
      <c r="B191" s="293" t="s">
        <v>173</v>
      </c>
      <c r="C191" s="294" t="s">
        <v>156</v>
      </c>
      <c r="D191" s="319" t="s">
        <v>172</v>
      </c>
      <c r="E191" s="316">
        <v>12</v>
      </c>
      <c r="F191" s="549">
        <f>2452*N191</f>
        <v>1226</v>
      </c>
      <c r="G191" s="317">
        <f t="shared" si="20"/>
        <v>1910</v>
      </c>
      <c r="H191" s="318" t="s">
        <v>1055</v>
      </c>
      <c r="I191" s="296" t="s">
        <v>189</v>
      </c>
      <c r="J191" s="297">
        <v>487</v>
      </c>
      <c r="K191" s="299">
        <v>2025</v>
      </c>
      <c r="L191" s="299"/>
      <c r="M191" s="299">
        <v>684</v>
      </c>
      <c r="N191" s="299">
        <f t="shared" si="21"/>
        <v>0.5</v>
      </c>
    </row>
    <row r="192" spans="1:14" s="292" customFormat="1" ht="24.95" customHeight="1">
      <c r="A192" s="289" t="s">
        <v>1046</v>
      </c>
      <c r="B192" s="293" t="s">
        <v>173</v>
      </c>
      <c r="C192" s="294" t="s">
        <v>158</v>
      </c>
      <c r="D192" s="319" t="s">
        <v>175</v>
      </c>
      <c r="E192" s="316">
        <v>14</v>
      </c>
      <c r="F192" s="549">
        <f>3154*N192</f>
        <v>1577</v>
      </c>
      <c r="G192" s="317">
        <f t="shared" si="20"/>
        <v>2723</v>
      </c>
      <c r="H192" s="318" t="s">
        <v>1055</v>
      </c>
      <c r="I192" s="296" t="s">
        <v>189</v>
      </c>
      <c r="J192" s="297">
        <v>562</v>
      </c>
      <c r="K192" s="299">
        <v>2025</v>
      </c>
      <c r="L192" s="299"/>
      <c r="M192" s="299">
        <v>1146</v>
      </c>
      <c r="N192" s="299">
        <f t="shared" si="21"/>
        <v>0.5</v>
      </c>
    </row>
    <row r="193" spans="1:14" s="292" customFormat="1" ht="24.95" customHeight="1">
      <c r="A193" s="289" t="s">
        <v>1046</v>
      </c>
      <c r="B193" s="293" t="s">
        <v>173</v>
      </c>
      <c r="C193" s="294" t="s">
        <v>176</v>
      </c>
      <c r="D193" s="319" t="s">
        <v>177</v>
      </c>
      <c r="E193" s="316">
        <v>16</v>
      </c>
      <c r="F193" s="549">
        <f>4752*N193</f>
        <v>2376</v>
      </c>
      <c r="G193" s="317">
        <f t="shared" si="20"/>
        <v>3720</v>
      </c>
      <c r="H193" s="318" t="s">
        <v>1055</v>
      </c>
      <c r="I193" s="296" t="s">
        <v>189</v>
      </c>
      <c r="J193" s="297">
        <v>650</v>
      </c>
      <c r="K193" s="299">
        <v>2025</v>
      </c>
      <c r="L193" s="299"/>
      <c r="M193" s="299">
        <v>1344</v>
      </c>
      <c r="N193" s="299">
        <f t="shared" si="21"/>
        <v>0.5</v>
      </c>
    </row>
    <row r="194" spans="1:14" s="292" customFormat="1" ht="24.95" customHeight="1">
      <c r="A194" s="289" t="s">
        <v>1046</v>
      </c>
      <c r="B194" s="293" t="s">
        <v>173</v>
      </c>
      <c r="C194" s="294" t="s">
        <v>178</v>
      </c>
      <c r="D194" s="294" t="s">
        <v>179</v>
      </c>
      <c r="E194" s="316">
        <v>20</v>
      </c>
      <c r="F194" s="549">
        <f>14468*N194</f>
        <v>7234</v>
      </c>
      <c r="G194" s="317">
        <f t="shared" si="20"/>
        <v>8834</v>
      </c>
      <c r="H194" s="318" t="s">
        <v>1055</v>
      </c>
      <c r="I194" s="296" t="s">
        <v>189</v>
      </c>
      <c r="J194" s="297">
        <v>700</v>
      </c>
      <c r="K194" s="299">
        <v>2025</v>
      </c>
      <c r="L194" s="299"/>
      <c r="M194" s="299">
        <v>1600</v>
      </c>
      <c r="N194" s="299">
        <f t="shared" si="21"/>
        <v>0.5</v>
      </c>
    </row>
    <row r="195" spans="1:14" s="292" customFormat="1" ht="24.95" customHeight="1">
      <c r="A195" s="289" t="s">
        <v>1046</v>
      </c>
      <c r="B195" s="293" t="s">
        <v>173</v>
      </c>
      <c r="C195" s="294" t="s">
        <v>190</v>
      </c>
      <c r="D195" s="294" t="s">
        <v>191</v>
      </c>
      <c r="E195" s="316">
        <v>24</v>
      </c>
      <c r="F195" s="549">
        <f>19955*N195</f>
        <v>9977.5</v>
      </c>
      <c r="G195" s="317">
        <f t="shared" si="20"/>
        <v>9977.5</v>
      </c>
      <c r="H195" s="318" t="s">
        <v>1055</v>
      </c>
      <c r="I195" s="296" t="s">
        <v>189</v>
      </c>
      <c r="J195" s="297"/>
      <c r="K195" s="299">
        <v>2025</v>
      </c>
      <c r="L195" s="299"/>
      <c r="M195" s="299"/>
      <c r="N195" s="299">
        <f t="shared" si="21"/>
        <v>0.5</v>
      </c>
    </row>
    <row r="196" spans="1:14" s="292" customFormat="1" ht="24.95" customHeight="1">
      <c r="A196" s="301"/>
      <c r="B196" s="302"/>
      <c r="C196" s="302"/>
      <c r="D196" s="302"/>
      <c r="E196" s="302"/>
      <c r="F196" s="546"/>
      <c r="G196" s="302"/>
      <c r="H196" s="302"/>
      <c r="I196" s="302"/>
      <c r="J196" s="314"/>
      <c r="K196" s="302"/>
      <c r="L196" s="302"/>
      <c r="M196" s="302"/>
      <c r="N196" s="290"/>
    </row>
    <row r="197" spans="1:14" s="292" customFormat="1" ht="24.95" customHeight="1">
      <c r="A197" s="289" t="s">
        <v>1046</v>
      </c>
      <c r="B197" s="293" t="s">
        <v>1057</v>
      </c>
      <c r="C197" s="299" t="s">
        <v>47</v>
      </c>
      <c r="D197" s="299" t="s">
        <v>99</v>
      </c>
      <c r="E197" s="316" t="s">
        <v>22</v>
      </c>
      <c r="F197" s="549">
        <f>189*N197</f>
        <v>94.5</v>
      </c>
      <c r="G197" s="317">
        <f t="shared" ref="G197:G202" si="22">F197+M197</f>
        <v>94.5</v>
      </c>
      <c r="H197" s="318" t="s">
        <v>1055</v>
      </c>
      <c r="I197" s="296" t="s">
        <v>1058</v>
      </c>
      <c r="J197" s="297">
        <v>25</v>
      </c>
      <c r="K197" s="299">
        <v>2025</v>
      </c>
      <c r="L197" s="299"/>
      <c r="M197" s="299"/>
      <c r="N197" s="299">
        <f>N195</f>
        <v>0.5</v>
      </c>
    </row>
    <row r="198" spans="1:14" s="292" customFormat="1" ht="24.95" customHeight="1">
      <c r="A198" s="289" t="s">
        <v>1046</v>
      </c>
      <c r="B198" s="293" t="s">
        <v>1057</v>
      </c>
      <c r="C198" s="299" t="s">
        <v>49</v>
      </c>
      <c r="D198" s="299" t="s">
        <v>104</v>
      </c>
      <c r="E198" s="316" t="s">
        <v>24</v>
      </c>
      <c r="F198" s="549">
        <f>194*N198</f>
        <v>97</v>
      </c>
      <c r="G198" s="317">
        <f t="shared" si="22"/>
        <v>97</v>
      </c>
      <c r="H198" s="318" t="s">
        <v>1055</v>
      </c>
      <c r="I198" s="296" t="s">
        <v>1059</v>
      </c>
      <c r="J198" s="297">
        <v>30</v>
      </c>
      <c r="K198" s="299">
        <v>2025</v>
      </c>
      <c r="L198" s="299"/>
      <c r="M198" s="299"/>
      <c r="N198" s="299">
        <f>N197</f>
        <v>0.5</v>
      </c>
    </row>
    <row r="199" spans="1:14" s="292" customFormat="1" ht="24.95" customHeight="1">
      <c r="A199" s="289" t="s">
        <v>1046</v>
      </c>
      <c r="B199" s="293" t="s">
        <v>1057</v>
      </c>
      <c r="C199" s="299" t="s">
        <v>51</v>
      </c>
      <c r="D199" s="299" t="s">
        <v>105</v>
      </c>
      <c r="E199" s="316">
        <v>1</v>
      </c>
      <c r="F199" s="549">
        <f>215*N199</f>
        <v>107.5</v>
      </c>
      <c r="G199" s="317">
        <f t="shared" si="22"/>
        <v>107.5</v>
      </c>
      <c r="H199" s="318" t="s">
        <v>1055</v>
      </c>
      <c r="I199" s="296" t="s">
        <v>1058</v>
      </c>
      <c r="J199" s="297">
        <v>35</v>
      </c>
      <c r="K199" s="299">
        <v>2025</v>
      </c>
      <c r="L199" s="299"/>
      <c r="M199" s="299"/>
      <c r="N199" s="299">
        <f>N198</f>
        <v>0.5</v>
      </c>
    </row>
    <row r="200" spans="1:14" s="292" customFormat="1" ht="24.95" customHeight="1">
      <c r="A200" s="289" t="s">
        <v>1046</v>
      </c>
      <c r="B200" s="293" t="s">
        <v>1057</v>
      </c>
      <c r="C200" s="299" t="s">
        <v>53</v>
      </c>
      <c r="D200" s="299" t="s">
        <v>106</v>
      </c>
      <c r="E200" s="321">
        <v>1.25</v>
      </c>
      <c r="F200" s="549">
        <f>299*N200</f>
        <v>149.5</v>
      </c>
      <c r="G200" s="317">
        <f t="shared" si="22"/>
        <v>149.5</v>
      </c>
      <c r="H200" s="318" t="s">
        <v>1055</v>
      </c>
      <c r="I200" s="296" t="s">
        <v>1058</v>
      </c>
      <c r="J200" s="297">
        <v>50</v>
      </c>
      <c r="K200" s="299">
        <v>2025</v>
      </c>
      <c r="L200" s="299"/>
      <c r="M200" s="299"/>
      <c r="N200" s="299">
        <f>N199</f>
        <v>0.5</v>
      </c>
    </row>
    <row r="201" spans="1:14" s="292" customFormat="1" ht="24.95" customHeight="1">
      <c r="A201" s="289" t="s">
        <v>1046</v>
      </c>
      <c r="B201" s="293" t="s">
        <v>1057</v>
      </c>
      <c r="C201" s="299" t="s">
        <v>55</v>
      </c>
      <c r="D201" s="299" t="s">
        <v>107</v>
      </c>
      <c r="E201" s="321">
        <v>1.5</v>
      </c>
      <c r="F201" s="549">
        <f>340*N201</f>
        <v>170</v>
      </c>
      <c r="G201" s="317">
        <f t="shared" si="22"/>
        <v>170</v>
      </c>
      <c r="H201" s="318" t="s">
        <v>1055</v>
      </c>
      <c r="I201" s="296" t="s">
        <v>1058</v>
      </c>
      <c r="J201" s="297">
        <v>55</v>
      </c>
      <c r="K201" s="299">
        <v>2025</v>
      </c>
      <c r="L201" s="299"/>
      <c r="M201" s="299"/>
      <c r="N201" s="299">
        <f>N200</f>
        <v>0.5</v>
      </c>
    </row>
    <row r="202" spans="1:14" s="292" customFormat="1" ht="24.95" customHeight="1">
      <c r="A202" s="289" t="s">
        <v>1046</v>
      </c>
      <c r="B202" s="293" t="s">
        <v>1057</v>
      </c>
      <c r="C202" s="299" t="s">
        <v>57</v>
      </c>
      <c r="D202" s="299" t="s">
        <v>31</v>
      </c>
      <c r="E202" s="316">
        <v>2</v>
      </c>
      <c r="F202" s="549">
        <f>469*N202</f>
        <v>234.5</v>
      </c>
      <c r="G202" s="317">
        <f t="shared" si="22"/>
        <v>234.5</v>
      </c>
      <c r="H202" s="318" t="s">
        <v>1055</v>
      </c>
      <c r="I202" s="296" t="s">
        <v>1058</v>
      </c>
      <c r="J202" s="297">
        <v>75</v>
      </c>
      <c r="K202" s="299">
        <v>2025</v>
      </c>
      <c r="L202" s="299"/>
      <c r="M202" s="299"/>
      <c r="N202" s="299">
        <f>N201</f>
        <v>0.5</v>
      </c>
    </row>
    <row r="203" spans="1:14" s="292" customFormat="1" ht="24.95" customHeight="1">
      <c r="A203" s="301"/>
      <c r="B203" s="302"/>
      <c r="C203" s="302"/>
      <c r="D203" s="302"/>
      <c r="E203" s="302"/>
      <c r="F203" s="546"/>
      <c r="G203" s="302"/>
      <c r="H203" s="302"/>
      <c r="I203" s="302"/>
      <c r="J203" s="314"/>
      <c r="K203" s="302"/>
      <c r="L203" s="302"/>
      <c r="M203" s="302"/>
      <c r="N203" s="290"/>
    </row>
    <row r="204" spans="1:14" s="292" customFormat="1" ht="24.95" customHeight="1">
      <c r="A204" s="289" t="s">
        <v>1046</v>
      </c>
      <c r="B204" s="293" t="s">
        <v>1057</v>
      </c>
      <c r="C204" s="294" t="s">
        <v>59</v>
      </c>
      <c r="D204" s="299" t="s">
        <v>1053</v>
      </c>
      <c r="E204" s="321">
        <v>2.5</v>
      </c>
      <c r="F204" s="549">
        <f>856*N204</f>
        <v>428</v>
      </c>
      <c r="G204" s="317">
        <f>F204+M204</f>
        <v>512</v>
      </c>
      <c r="H204" s="318" t="s">
        <v>1055</v>
      </c>
      <c r="I204" s="296" t="s">
        <v>1060</v>
      </c>
      <c r="J204" s="297">
        <v>120</v>
      </c>
      <c r="K204" s="299">
        <v>2025</v>
      </c>
      <c r="L204" s="299"/>
      <c r="M204" s="299">
        <v>84</v>
      </c>
      <c r="N204" s="299">
        <f>N202</f>
        <v>0.5</v>
      </c>
    </row>
    <row r="205" spans="1:14" s="292" customFormat="1" ht="24.95" customHeight="1">
      <c r="A205" s="289" t="s">
        <v>1046</v>
      </c>
      <c r="B205" s="293" t="s">
        <v>1057</v>
      </c>
      <c r="C205" s="294" t="s">
        <v>60</v>
      </c>
      <c r="D205" s="299" t="s">
        <v>1054</v>
      </c>
      <c r="E205" s="316">
        <v>3</v>
      </c>
      <c r="F205" s="549">
        <f>1100*N205</f>
        <v>550</v>
      </c>
      <c r="G205" s="317">
        <f t="shared" ref="G205:G211" si="23">F205+M205</f>
        <v>656</v>
      </c>
      <c r="H205" s="318" t="s">
        <v>1055</v>
      </c>
      <c r="I205" s="296" t="s">
        <v>1060</v>
      </c>
      <c r="J205" s="297">
        <v>150</v>
      </c>
      <c r="K205" s="299">
        <v>2025</v>
      </c>
      <c r="L205" s="299"/>
      <c r="M205" s="299">
        <v>106</v>
      </c>
      <c r="N205" s="299">
        <f>N204</f>
        <v>0.5</v>
      </c>
    </row>
    <row r="206" spans="1:14" s="292" customFormat="1" ht="24.95" customHeight="1">
      <c r="A206" s="289" t="s">
        <v>1046</v>
      </c>
      <c r="B206" s="293" t="s">
        <v>1057</v>
      </c>
      <c r="C206" s="294" t="s">
        <v>62</v>
      </c>
      <c r="D206" s="319" t="s">
        <v>210</v>
      </c>
      <c r="E206" s="316">
        <v>4</v>
      </c>
      <c r="F206" s="549">
        <f>1625*N206</f>
        <v>812.5</v>
      </c>
      <c r="G206" s="317">
        <f t="shared" si="23"/>
        <v>938.5</v>
      </c>
      <c r="H206" s="318" t="s">
        <v>1055</v>
      </c>
      <c r="I206" s="296" t="s">
        <v>1060</v>
      </c>
      <c r="J206" s="297">
        <v>162</v>
      </c>
      <c r="K206" s="299">
        <v>2025</v>
      </c>
      <c r="L206" s="299"/>
      <c r="M206" s="299">
        <v>126</v>
      </c>
      <c r="N206" s="299">
        <f t="shared" ref="N206:N211" si="24">N205</f>
        <v>0.5</v>
      </c>
    </row>
    <row r="207" spans="1:14" s="292" customFormat="1" ht="24.95" customHeight="1">
      <c r="A207" s="289" t="s">
        <v>1046</v>
      </c>
      <c r="B207" s="293" t="s">
        <v>1057</v>
      </c>
      <c r="C207" s="294" t="s">
        <v>63</v>
      </c>
      <c r="D207" s="319" t="s">
        <v>168</v>
      </c>
      <c r="E207" s="316">
        <v>5</v>
      </c>
      <c r="F207" s="549">
        <f>2261*N207</f>
        <v>1130.5</v>
      </c>
      <c r="G207" s="317">
        <f t="shared" si="23"/>
        <v>1334.5</v>
      </c>
      <c r="H207" s="318" t="s">
        <v>1055</v>
      </c>
      <c r="I207" s="296" t="s">
        <v>1060</v>
      </c>
      <c r="J207" s="297">
        <v>200</v>
      </c>
      <c r="K207" s="299">
        <v>2025</v>
      </c>
      <c r="L207" s="299"/>
      <c r="M207" s="299">
        <v>204</v>
      </c>
      <c r="N207" s="299">
        <f t="shared" si="24"/>
        <v>0.5</v>
      </c>
    </row>
    <row r="208" spans="1:14" s="292" customFormat="1" ht="24.95" customHeight="1">
      <c r="A208" s="289" t="s">
        <v>1046</v>
      </c>
      <c r="B208" s="293" t="s">
        <v>1057</v>
      </c>
      <c r="C208" s="294" t="s">
        <v>66</v>
      </c>
      <c r="D208" s="319" t="s">
        <v>169</v>
      </c>
      <c r="E208" s="316">
        <v>6</v>
      </c>
      <c r="F208" s="549">
        <f>2810*N208</f>
        <v>1405</v>
      </c>
      <c r="G208" s="317">
        <f t="shared" si="23"/>
        <v>1631</v>
      </c>
      <c r="H208" s="318" t="s">
        <v>1055</v>
      </c>
      <c r="I208" s="296" t="s">
        <v>1060</v>
      </c>
      <c r="J208" s="297">
        <v>250</v>
      </c>
      <c r="K208" s="299">
        <v>2025</v>
      </c>
      <c r="L208" s="299"/>
      <c r="M208" s="299">
        <v>226</v>
      </c>
      <c r="N208" s="299">
        <f t="shared" si="24"/>
        <v>0.5</v>
      </c>
    </row>
    <row r="209" spans="1:14" s="292" customFormat="1" ht="24.95" customHeight="1">
      <c r="A209" s="289" t="s">
        <v>1046</v>
      </c>
      <c r="B209" s="293" t="s">
        <v>1057</v>
      </c>
      <c r="C209" s="294" t="s">
        <v>121</v>
      </c>
      <c r="D209" s="319" t="s">
        <v>170</v>
      </c>
      <c r="E209" s="316">
        <v>8</v>
      </c>
      <c r="F209" s="549">
        <f>6902*N209</f>
        <v>3451</v>
      </c>
      <c r="G209" s="317">
        <f t="shared" si="23"/>
        <v>3791</v>
      </c>
      <c r="H209" s="318" t="s">
        <v>1055</v>
      </c>
      <c r="I209" s="296" t="s">
        <v>1060</v>
      </c>
      <c r="J209" s="297">
        <v>325</v>
      </c>
      <c r="K209" s="299">
        <v>2025</v>
      </c>
      <c r="L209" s="299"/>
      <c r="M209" s="299">
        <v>340</v>
      </c>
      <c r="N209" s="299">
        <f t="shared" si="24"/>
        <v>0.5</v>
      </c>
    </row>
    <row r="210" spans="1:14" s="292" customFormat="1" ht="24.95" customHeight="1">
      <c r="A210" s="289" t="s">
        <v>1046</v>
      </c>
      <c r="B210" s="293" t="s">
        <v>1057</v>
      </c>
      <c r="C210" s="294" t="s">
        <v>122</v>
      </c>
      <c r="D210" s="319" t="s">
        <v>171</v>
      </c>
      <c r="E210" s="316">
        <v>10</v>
      </c>
      <c r="F210" s="549">
        <f>10621*N210</f>
        <v>5310.5</v>
      </c>
      <c r="G210" s="317">
        <f t="shared" si="23"/>
        <v>5814.5</v>
      </c>
      <c r="H210" s="318" t="s">
        <v>1055</v>
      </c>
      <c r="I210" s="296" t="s">
        <v>1060</v>
      </c>
      <c r="J210" s="297">
        <v>400</v>
      </c>
      <c r="K210" s="299">
        <v>2025</v>
      </c>
      <c r="L210" s="299"/>
      <c r="M210" s="299">
        <v>504</v>
      </c>
      <c r="N210" s="299">
        <f t="shared" si="24"/>
        <v>0.5</v>
      </c>
    </row>
    <row r="211" spans="1:14" s="292" customFormat="1" ht="24.95" customHeight="1">
      <c r="A211" s="289" t="s">
        <v>1046</v>
      </c>
      <c r="B211" s="293" t="s">
        <v>1057</v>
      </c>
      <c r="C211" s="294" t="s">
        <v>156</v>
      </c>
      <c r="D211" s="319" t="s">
        <v>172</v>
      </c>
      <c r="E211" s="316">
        <v>12</v>
      </c>
      <c r="F211" s="549">
        <f>17802*N211</f>
        <v>8901</v>
      </c>
      <c r="G211" s="317">
        <f t="shared" si="23"/>
        <v>9585</v>
      </c>
      <c r="H211" s="318" t="s">
        <v>1055</v>
      </c>
      <c r="I211" s="296" t="s">
        <v>1060</v>
      </c>
      <c r="J211" s="297">
        <v>487</v>
      </c>
      <c r="K211" s="299">
        <v>2025</v>
      </c>
      <c r="L211" s="299"/>
      <c r="M211" s="299">
        <v>684</v>
      </c>
      <c r="N211" s="299">
        <f t="shared" si="24"/>
        <v>0.5</v>
      </c>
    </row>
    <row r="212" spans="1:14" s="292" customFormat="1" ht="24.95" customHeight="1">
      <c r="A212" s="301"/>
      <c r="B212" s="302"/>
      <c r="C212" s="302"/>
      <c r="D212" s="302"/>
      <c r="E212" s="302"/>
      <c r="F212" s="546"/>
      <c r="G212" s="302"/>
      <c r="H212" s="302"/>
      <c r="I212" s="302"/>
      <c r="J212" s="314"/>
      <c r="K212" s="302"/>
      <c r="L212" s="302"/>
      <c r="M212" s="302"/>
      <c r="N212" s="290"/>
    </row>
    <row r="213" spans="1:14" s="292" customFormat="1" ht="24.95" customHeight="1">
      <c r="A213" s="289" t="s">
        <v>1046</v>
      </c>
      <c r="B213" s="293" t="s">
        <v>98</v>
      </c>
      <c r="C213" s="299" t="s">
        <v>94</v>
      </c>
      <c r="D213" s="299" t="s">
        <v>185</v>
      </c>
      <c r="E213" s="321">
        <v>0.375</v>
      </c>
      <c r="F213" s="322">
        <f>22.2*N213</f>
        <v>13.319999999999999</v>
      </c>
      <c r="G213" s="322">
        <f>F213+M213</f>
        <v>13.319999999999999</v>
      </c>
      <c r="H213" s="318" t="s">
        <v>130</v>
      </c>
      <c r="I213" s="296" t="s">
        <v>196</v>
      </c>
      <c r="J213" s="323">
        <v>25</v>
      </c>
      <c r="K213" s="299">
        <v>2025</v>
      </c>
      <c r="L213" s="320"/>
      <c r="M213" s="320"/>
      <c r="N213" s="299">
        <v>0.6</v>
      </c>
    </row>
    <row r="214" spans="1:14" s="292" customFormat="1" ht="24.95" customHeight="1">
      <c r="A214" s="289" t="s">
        <v>1046</v>
      </c>
      <c r="B214" s="293" t="s">
        <v>98</v>
      </c>
      <c r="C214" s="294" t="s">
        <v>47</v>
      </c>
      <c r="D214" s="299" t="s">
        <v>99</v>
      </c>
      <c r="E214" s="316" t="s">
        <v>22</v>
      </c>
      <c r="F214" s="322">
        <f>29.6*N214</f>
        <v>17.760000000000002</v>
      </c>
      <c r="G214" s="322">
        <f t="shared" ref="G214:G219" si="25">F214+M214</f>
        <v>17.760000000000002</v>
      </c>
      <c r="H214" s="318" t="s">
        <v>130</v>
      </c>
      <c r="I214" s="296" t="s">
        <v>196</v>
      </c>
      <c r="J214" s="323">
        <v>25</v>
      </c>
      <c r="K214" s="299">
        <v>2025</v>
      </c>
      <c r="L214" s="320"/>
      <c r="M214" s="320"/>
      <c r="N214" s="299">
        <f t="shared" ref="N214:N219" si="26">N213</f>
        <v>0.6</v>
      </c>
    </row>
    <row r="215" spans="1:14" s="292" customFormat="1" ht="24.95" customHeight="1">
      <c r="A215" s="289" t="s">
        <v>1046</v>
      </c>
      <c r="B215" s="293" t="s">
        <v>98</v>
      </c>
      <c r="C215" s="294" t="s">
        <v>49</v>
      </c>
      <c r="D215" s="299" t="s">
        <v>104</v>
      </c>
      <c r="E215" s="316" t="s">
        <v>24</v>
      </c>
      <c r="F215" s="322">
        <f>42.3*N215</f>
        <v>25.38</v>
      </c>
      <c r="G215" s="322">
        <f t="shared" si="25"/>
        <v>25.38</v>
      </c>
      <c r="H215" s="318" t="s">
        <v>130</v>
      </c>
      <c r="I215" s="296" t="s">
        <v>196</v>
      </c>
      <c r="J215" s="323">
        <v>30</v>
      </c>
      <c r="K215" s="299">
        <v>2025</v>
      </c>
      <c r="L215" s="320"/>
      <c r="M215" s="320"/>
      <c r="N215" s="299">
        <f t="shared" si="26"/>
        <v>0.6</v>
      </c>
    </row>
    <row r="216" spans="1:14" s="292" customFormat="1" ht="24.95" customHeight="1">
      <c r="A216" s="289" t="s">
        <v>1046</v>
      </c>
      <c r="B216" s="293" t="s">
        <v>98</v>
      </c>
      <c r="C216" s="294" t="s">
        <v>51</v>
      </c>
      <c r="D216" s="299" t="s">
        <v>105</v>
      </c>
      <c r="E216" s="316">
        <v>1</v>
      </c>
      <c r="F216" s="322">
        <f>67.5*N216</f>
        <v>40.5</v>
      </c>
      <c r="G216" s="322">
        <f t="shared" si="25"/>
        <v>40.5</v>
      </c>
      <c r="H216" s="318" t="s">
        <v>130</v>
      </c>
      <c r="I216" s="296" t="s">
        <v>196</v>
      </c>
      <c r="J216" s="323">
        <v>35</v>
      </c>
      <c r="K216" s="299">
        <v>2025</v>
      </c>
      <c r="L216" s="320"/>
      <c r="M216" s="320"/>
      <c r="N216" s="299">
        <f t="shared" si="26"/>
        <v>0.6</v>
      </c>
    </row>
    <row r="217" spans="1:14" s="292" customFormat="1" ht="24.95" customHeight="1">
      <c r="A217" s="289" t="s">
        <v>1046</v>
      </c>
      <c r="B217" s="293" t="s">
        <v>98</v>
      </c>
      <c r="C217" s="294" t="s">
        <v>53</v>
      </c>
      <c r="D217" s="299" t="s">
        <v>106</v>
      </c>
      <c r="E217" s="321">
        <v>1.25</v>
      </c>
      <c r="F217" s="322">
        <f>123.4*N217</f>
        <v>74.040000000000006</v>
      </c>
      <c r="G217" s="322">
        <f t="shared" si="25"/>
        <v>74.040000000000006</v>
      </c>
      <c r="H217" s="318" t="s">
        <v>130</v>
      </c>
      <c r="I217" s="296" t="s">
        <v>196</v>
      </c>
      <c r="J217" s="323">
        <v>50</v>
      </c>
      <c r="K217" s="299">
        <v>2025</v>
      </c>
      <c r="L217" s="320"/>
      <c r="M217" s="320"/>
      <c r="N217" s="299">
        <f t="shared" si="26"/>
        <v>0.6</v>
      </c>
    </row>
    <row r="218" spans="1:14" s="292" customFormat="1" ht="24.95" customHeight="1">
      <c r="A218" s="289" t="s">
        <v>1046</v>
      </c>
      <c r="B218" s="293" t="s">
        <v>98</v>
      </c>
      <c r="C218" s="294" t="s">
        <v>55</v>
      </c>
      <c r="D218" s="299" t="s">
        <v>107</v>
      </c>
      <c r="E218" s="321">
        <v>1.5</v>
      </c>
      <c r="F218" s="322">
        <f>189.6*N218</f>
        <v>113.75999999999999</v>
      </c>
      <c r="G218" s="322">
        <f t="shared" si="25"/>
        <v>113.75999999999999</v>
      </c>
      <c r="H218" s="318" t="s">
        <v>130</v>
      </c>
      <c r="I218" s="296" t="s">
        <v>196</v>
      </c>
      <c r="J218" s="323">
        <v>55</v>
      </c>
      <c r="K218" s="299">
        <v>2025</v>
      </c>
      <c r="L218" s="320"/>
      <c r="M218" s="320"/>
      <c r="N218" s="299">
        <f t="shared" si="26"/>
        <v>0.6</v>
      </c>
    </row>
    <row r="219" spans="1:14" s="292" customFormat="1" ht="24.95" customHeight="1">
      <c r="A219" s="289" t="s">
        <v>1046</v>
      </c>
      <c r="B219" s="293" t="s">
        <v>98</v>
      </c>
      <c r="C219" s="294" t="s">
        <v>57</v>
      </c>
      <c r="D219" s="299" t="s">
        <v>31</v>
      </c>
      <c r="E219" s="316">
        <v>2</v>
      </c>
      <c r="F219" s="322">
        <f>265.4*N219</f>
        <v>159.23999999999998</v>
      </c>
      <c r="G219" s="322">
        <f t="shared" si="25"/>
        <v>159.23999999999998</v>
      </c>
      <c r="H219" s="318" t="s">
        <v>130</v>
      </c>
      <c r="I219" s="296" t="s">
        <v>196</v>
      </c>
      <c r="J219" s="323">
        <v>75</v>
      </c>
      <c r="K219" s="299">
        <v>2025</v>
      </c>
      <c r="L219" s="320"/>
      <c r="M219" s="320"/>
      <c r="N219" s="299">
        <f t="shared" si="26"/>
        <v>0.6</v>
      </c>
    </row>
    <row r="220" spans="1:14" s="292" customFormat="1" ht="24.95" customHeight="1">
      <c r="A220" s="301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290"/>
    </row>
    <row r="221" spans="1:14" s="292" customFormat="1" ht="24.95" customHeight="1">
      <c r="A221" s="289" t="s">
        <v>1046</v>
      </c>
      <c r="B221" s="293" t="s">
        <v>1061</v>
      </c>
      <c r="C221" s="294" t="s">
        <v>59</v>
      </c>
      <c r="D221" s="299" t="s">
        <v>1053</v>
      </c>
      <c r="E221" s="321">
        <v>2.5</v>
      </c>
      <c r="F221" s="549">
        <f>793*N221</f>
        <v>515.45000000000005</v>
      </c>
      <c r="G221" s="317">
        <f t="shared" ref="G221:G226" si="27">F221+M221</f>
        <v>599.45000000000005</v>
      </c>
      <c r="H221" s="318" t="s">
        <v>130</v>
      </c>
      <c r="I221" s="296" t="s">
        <v>196</v>
      </c>
      <c r="J221" s="323">
        <v>120</v>
      </c>
      <c r="K221" s="299">
        <v>2025</v>
      </c>
      <c r="L221" s="320"/>
      <c r="M221" s="299">
        <v>84</v>
      </c>
      <c r="N221" s="299">
        <v>0.65</v>
      </c>
    </row>
    <row r="222" spans="1:14" s="292" customFormat="1" ht="24.95" customHeight="1">
      <c r="A222" s="289" t="s">
        <v>1046</v>
      </c>
      <c r="B222" s="293" t="s">
        <v>1061</v>
      </c>
      <c r="C222" s="294" t="s">
        <v>60</v>
      </c>
      <c r="D222" s="299" t="s">
        <v>1054</v>
      </c>
      <c r="E222" s="316">
        <v>3</v>
      </c>
      <c r="F222" s="549">
        <f>1012*N222</f>
        <v>657.80000000000007</v>
      </c>
      <c r="G222" s="317">
        <f t="shared" si="27"/>
        <v>763.80000000000007</v>
      </c>
      <c r="H222" s="318" t="s">
        <v>130</v>
      </c>
      <c r="I222" s="296" t="s">
        <v>196</v>
      </c>
      <c r="J222" s="323">
        <v>150</v>
      </c>
      <c r="K222" s="299">
        <v>2025</v>
      </c>
      <c r="L222" s="320"/>
      <c r="M222" s="299">
        <v>106</v>
      </c>
      <c r="N222" s="299">
        <f>N221</f>
        <v>0.65</v>
      </c>
    </row>
    <row r="223" spans="1:14" s="292" customFormat="1" ht="24.95" customHeight="1">
      <c r="A223" s="289" t="s">
        <v>1046</v>
      </c>
      <c r="B223" s="293" t="s">
        <v>1061</v>
      </c>
      <c r="C223" s="294" t="s">
        <v>62</v>
      </c>
      <c r="D223" s="319" t="s">
        <v>210</v>
      </c>
      <c r="E223" s="316">
        <v>4</v>
      </c>
      <c r="F223" s="549">
        <f>1597*N223</f>
        <v>1038.05</v>
      </c>
      <c r="G223" s="317">
        <f t="shared" si="27"/>
        <v>1164.05</v>
      </c>
      <c r="H223" s="318" t="s">
        <v>130</v>
      </c>
      <c r="I223" s="296" t="s">
        <v>196</v>
      </c>
      <c r="J223" s="323">
        <v>162</v>
      </c>
      <c r="K223" s="299">
        <v>2025</v>
      </c>
      <c r="L223" s="320"/>
      <c r="M223" s="299">
        <v>126</v>
      </c>
      <c r="N223" s="299">
        <f>N222</f>
        <v>0.65</v>
      </c>
    </row>
    <row r="224" spans="1:14" s="292" customFormat="1" ht="24.95" customHeight="1">
      <c r="A224" s="289" t="s">
        <v>1046</v>
      </c>
      <c r="B224" s="293" t="s">
        <v>1061</v>
      </c>
      <c r="C224" s="294" t="s">
        <v>63</v>
      </c>
      <c r="D224" s="319" t="s">
        <v>168</v>
      </c>
      <c r="E224" s="316">
        <v>5</v>
      </c>
      <c r="F224" s="549">
        <f>2812*N224</f>
        <v>1827.8</v>
      </c>
      <c r="G224" s="317">
        <f t="shared" si="27"/>
        <v>2031.8</v>
      </c>
      <c r="H224" s="318" t="s">
        <v>130</v>
      </c>
      <c r="I224" s="296" t="s">
        <v>196</v>
      </c>
      <c r="J224" s="323">
        <v>200</v>
      </c>
      <c r="K224" s="299">
        <v>2025</v>
      </c>
      <c r="L224" s="320"/>
      <c r="M224" s="299">
        <v>204</v>
      </c>
      <c r="N224" s="299">
        <f>N223</f>
        <v>0.65</v>
      </c>
    </row>
    <row r="225" spans="1:14" s="292" customFormat="1" ht="24.95" customHeight="1">
      <c r="A225" s="289" t="s">
        <v>1046</v>
      </c>
      <c r="B225" s="293" t="s">
        <v>1061</v>
      </c>
      <c r="C225" s="294" t="s">
        <v>66</v>
      </c>
      <c r="D225" s="319" t="s">
        <v>169</v>
      </c>
      <c r="E225" s="316">
        <v>6</v>
      </c>
      <c r="F225" s="549">
        <f>3633*N225</f>
        <v>2361.4500000000003</v>
      </c>
      <c r="G225" s="317">
        <f t="shared" si="27"/>
        <v>2587.4500000000003</v>
      </c>
      <c r="H225" s="318" t="s">
        <v>130</v>
      </c>
      <c r="I225" s="296" t="s">
        <v>196</v>
      </c>
      <c r="J225" s="323">
        <v>250</v>
      </c>
      <c r="K225" s="299">
        <v>2025</v>
      </c>
      <c r="L225" s="320"/>
      <c r="M225" s="299">
        <v>226</v>
      </c>
      <c r="N225" s="299">
        <f>N224</f>
        <v>0.65</v>
      </c>
    </row>
    <row r="226" spans="1:14" s="292" customFormat="1" ht="24.95" customHeight="1">
      <c r="A226" s="289" t="s">
        <v>1046</v>
      </c>
      <c r="B226" s="293" t="s">
        <v>1061</v>
      </c>
      <c r="C226" s="294" t="s">
        <v>121</v>
      </c>
      <c r="D226" s="319" t="s">
        <v>170</v>
      </c>
      <c r="E226" s="316">
        <v>8</v>
      </c>
      <c r="F226" s="549">
        <f>6789*N226</f>
        <v>4412.8500000000004</v>
      </c>
      <c r="G226" s="317">
        <f t="shared" si="27"/>
        <v>4752.8500000000004</v>
      </c>
      <c r="H226" s="318" t="s">
        <v>130</v>
      </c>
      <c r="I226" s="296" t="s">
        <v>196</v>
      </c>
      <c r="J226" s="323">
        <v>325</v>
      </c>
      <c r="K226" s="299">
        <v>2025</v>
      </c>
      <c r="L226" s="320"/>
      <c r="M226" s="299">
        <v>340</v>
      </c>
      <c r="N226" s="299">
        <f>N225</f>
        <v>0.65</v>
      </c>
    </row>
    <row r="227" spans="1:14" s="292" customFormat="1" ht="24.95" customHeight="1">
      <c r="A227" s="301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290"/>
    </row>
    <row r="228" spans="1:14" s="292" customFormat="1" ht="24.95" customHeight="1">
      <c r="A228" s="289" t="s">
        <v>1046</v>
      </c>
      <c r="B228" s="293" t="s">
        <v>1061</v>
      </c>
      <c r="C228" s="294" t="s">
        <v>59</v>
      </c>
      <c r="D228" s="299" t="s">
        <v>1053</v>
      </c>
      <c r="E228" s="316" t="s">
        <v>34</v>
      </c>
      <c r="F228" s="549">
        <f>793*N228</f>
        <v>515.45000000000005</v>
      </c>
      <c r="G228" s="317">
        <f t="shared" ref="G228:G233" si="28">F228+M228</f>
        <v>599.45000000000005</v>
      </c>
      <c r="H228" s="318" t="s">
        <v>130</v>
      </c>
      <c r="I228" s="296"/>
      <c r="J228" s="323">
        <v>120</v>
      </c>
      <c r="K228" s="299">
        <v>2025</v>
      </c>
      <c r="L228" s="320"/>
      <c r="M228" s="299">
        <v>84</v>
      </c>
      <c r="N228" s="299">
        <f>N226</f>
        <v>0.65</v>
      </c>
    </row>
    <row r="229" spans="1:14" s="292" customFormat="1" ht="24.95" customHeight="1">
      <c r="A229" s="289" t="s">
        <v>1046</v>
      </c>
      <c r="B229" s="293" t="s">
        <v>1061</v>
      </c>
      <c r="C229" s="294" t="s">
        <v>60</v>
      </c>
      <c r="D229" s="299" t="s">
        <v>1054</v>
      </c>
      <c r="E229" s="316">
        <v>3</v>
      </c>
      <c r="F229" s="549">
        <f>1012*N229</f>
        <v>657.80000000000007</v>
      </c>
      <c r="G229" s="317">
        <f t="shared" si="28"/>
        <v>763.80000000000007</v>
      </c>
      <c r="H229" s="318" t="s">
        <v>130</v>
      </c>
      <c r="I229" s="296"/>
      <c r="J229" s="323">
        <v>150</v>
      </c>
      <c r="K229" s="299">
        <v>2025</v>
      </c>
      <c r="L229" s="320"/>
      <c r="M229" s="299">
        <v>106</v>
      </c>
      <c r="N229" s="299">
        <f>N228</f>
        <v>0.65</v>
      </c>
    </row>
    <row r="230" spans="1:14" s="292" customFormat="1" ht="24.95" customHeight="1">
      <c r="A230" s="289" t="s">
        <v>1046</v>
      </c>
      <c r="B230" s="293" t="s">
        <v>1061</v>
      </c>
      <c r="C230" s="294" t="s">
        <v>62</v>
      </c>
      <c r="D230" s="319" t="s">
        <v>210</v>
      </c>
      <c r="E230" s="316">
        <v>4</v>
      </c>
      <c r="F230" s="549">
        <f>1597*N230</f>
        <v>1038.05</v>
      </c>
      <c r="G230" s="317">
        <f t="shared" si="28"/>
        <v>1164.05</v>
      </c>
      <c r="H230" s="318" t="s">
        <v>130</v>
      </c>
      <c r="I230" s="296"/>
      <c r="J230" s="323">
        <v>162</v>
      </c>
      <c r="K230" s="299">
        <v>2025</v>
      </c>
      <c r="L230" s="320"/>
      <c r="M230" s="299">
        <v>126</v>
      </c>
      <c r="N230" s="299">
        <f>N229</f>
        <v>0.65</v>
      </c>
    </row>
    <row r="231" spans="1:14" s="292" customFormat="1" ht="24.95" customHeight="1">
      <c r="A231" s="289" t="s">
        <v>1046</v>
      </c>
      <c r="B231" s="293" t="s">
        <v>1061</v>
      </c>
      <c r="C231" s="294" t="s">
        <v>63</v>
      </c>
      <c r="D231" s="319" t="s">
        <v>168</v>
      </c>
      <c r="E231" s="316">
        <v>5</v>
      </c>
      <c r="F231" s="549">
        <f>2812*N231</f>
        <v>1827.8</v>
      </c>
      <c r="G231" s="317">
        <f t="shared" si="28"/>
        <v>2031.8</v>
      </c>
      <c r="H231" s="318" t="s">
        <v>130</v>
      </c>
      <c r="I231" s="296"/>
      <c r="J231" s="323">
        <v>200</v>
      </c>
      <c r="K231" s="299">
        <v>2025</v>
      </c>
      <c r="L231" s="320"/>
      <c r="M231" s="299">
        <v>204</v>
      </c>
      <c r="N231" s="299">
        <f>N230</f>
        <v>0.65</v>
      </c>
    </row>
    <row r="232" spans="1:14" s="292" customFormat="1" ht="24.95" customHeight="1">
      <c r="A232" s="289" t="s">
        <v>1046</v>
      </c>
      <c r="B232" s="293" t="s">
        <v>1061</v>
      </c>
      <c r="C232" s="294" t="s">
        <v>66</v>
      </c>
      <c r="D232" s="319" t="s">
        <v>169</v>
      </c>
      <c r="E232" s="316">
        <v>6</v>
      </c>
      <c r="F232" s="549">
        <f>3633*N232</f>
        <v>2361.4500000000003</v>
      </c>
      <c r="G232" s="317">
        <f t="shared" si="28"/>
        <v>2587.4500000000003</v>
      </c>
      <c r="H232" s="318" t="s">
        <v>130</v>
      </c>
      <c r="I232" s="296"/>
      <c r="J232" s="323">
        <v>250</v>
      </c>
      <c r="K232" s="299">
        <v>2025</v>
      </c>
      <c r="L232" s="320"/>
      <c r="M232" s="299">
        <v>226</v>
      </c>
      <c r="N232" s="299">
        <f>N231</f>
        <v>0.65</v>
      </c>
    </row>
    <row r="233" spans="1:14" s="292" customFormat="1" ht="24.95" customHeight="1">
      <c r="A233" s="289" t="s">
        <v>1046</v>
      </c>
      <c r="B233" s="293" t="s">
        <v>1061</v>
      </c>
      <c r="C233" s="294" t="s">
        <v>121</v>
      </c>
      <c r="D233" s="319" t="s">
        <v>170</v>
      </c>
      <c r="E233" s="316">
        <v>8</v>
      </c>
      <c r="F233" s="549">
        <f>6189*N233</f>
        <v>4022.8500000000004</v>
      </c>
      <c r="G233" s="317">
        <f t="shared" si="28"/>
        <v>4362.8500000000004</v>
      </c>
      <c r="H233" s="318" t="s">
        <v>130</v>
      </c>
      <c r="I233" s="296"/>
      <c r="J233" s="323">
        <v>325</v>
      </c>
      <c r="K233" s="299">
        <v>2025</v>
      </c>
      <c r="L233" s="320"/>
      <c r="M233" s="299">
        <v>340</v>
      </c>
      <c r="N233" s="299">
        <f>N232</f>
        <v>0.65</v>
      </c>
    </row>
    <row r="234" spans="1:14" s="292" customFormat="1" ht="24.95" customHeight="1">
      <c r="A234" s="301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290"/>
    </row>
    <row r="235" spans="1:14" s="292" customFormat="1" ht="24.95" customHeight="1">
      <c r="A235" s="289" t="s">
        <v>1046</v>
      </c>
      <c r="B235" s="293" t="s">
        <v>1061</v>
      </c>
      <c r="C235" s="294" t="s">
        <v>59</v>
      </c>
      <c r="D235" s="299" t="s">
        <v>1053</v>
      </c>
      <c r="E235" s="316" t="s">
        <v>34</v>
      </c>
      <c r="F235" s="549">
        <f>2060*N235</f>
        <v>1339</v>
      </c>
      <c r="G235" s="317">
        <f t="shared" ref="G235:G241" si="29">F235+M235</f>
        <v>1423</v>
      </c>
      <c r="H235" s="318" t="s">
        <v>130</v>
      </c>
      <c r="I235" s="296" t="s">
        <v>198</v>
      </c>
      <c r="J235" s="323">
        <v>143</v>
      </c>
      <c r="K235" s="299">
        <v>2025</v>
      </c>
      <c r="L235" s="320"/>
      <c r="M235" s="299">
        <v>84</v>
      </c>
      <c r="N235" s="299">
        <f>N233</f>
        <v>0.65</v>
      </c>
    </row>
    <row r="236" spans="1:14" s="292" customFormat="1" ht="24.95" customHeight="1">
      <c r="A236" s="289" t="s">
        <v>1046</v>
      </c>
      <c r="B236" s="293" t="s">
        <v>1061</v>
      </c>
      <c r="C236" s="294" t="s">
        <v>60</v>
      </c>
      <c r="D236" s="299" t="s">
        <v>1054</v>
      </c>
      <c r="E236" s="316">
        <v>3</v>
      </c>
      <c r="F236" s="549">
        <f>2627*N236</f>
        <v>1707.55</v>
      </c>
      <c r="G236" s="317">
        <f t="shared" si="29"/>
        <v>1813.55</v>
      </c>
      <c r="H236" s="318" t="s">
        <v>130</v>
      </c>
      <c r="I236" s="296" t="s">
        <v>198</v>
      </c>
      <c r="J236" s="323">
        <v>225</v>
      </c>
      <c r="K236" s="299">
        <v>2025</v>
      </c>
      <c r="L236" s="320"/>
      <c r="M236" s="299">
        <v>106</v>
      </c>
      <c r="N236" s="299">
        <f t="shared" ref="N236:N241" si="30">N235</f>
        <v>0.65</v>
      </c>
    </row>
    <row r="237" spans="1:14" s="292" customFormat="1" ht="24.95" customHeight="1">
      <c r="A237" s="289" t="s">
        <v>1046</v>
      </c>
      <c r="B237" s="293" t="s">
        <v>1061</v>
      </c>
      <c r="C237" s="294" t="s">
        <v>62</v>
      </c>
      <c r="D237" s="319" t="s">
        <v>210</v>
      </c>
      <c r="E237" s="316">
        <v>4</v>
      </c>
      <c r="F237" s="549">
        <f>4005*N237</f>
        <v>2603.25</v>
      </c>
      <c r="G237" s="317">
        <f t="shared" si="29"/>
        <v>2729.25</v>
      </c>
      <c r="H237" s="318" t="s">
        <v>130</v>
      </c>
      <c r="I237" s="296" t="s">
        <v>198</v>
      </c>
      <c r="J237" s="323">
        <v>243</v>
      </c>
      <c r="K237" s="299">
        <v>2025</v>
      </c>
      <c r="L237" s="320"/>
      <c r="M237" s="299">
        <v>126</v>
      </c>
      <c r="N237" s="299">
        <f t="shared" si="30"/>
        <v>0.65</v>
      </c>
    </row>
    <row r="238" spans="1:14" s="292" customFormat="1" ht="24.95" customHeight="1">
      <c r="A238" s="289" t="s">
        <v>1046</v>
      </c>
      <c r="B238" s="293" t="s">
        <v>1061</v>
      </c>
      <c r="C238" s="294" t="s">
        <v>63</v>
      </c>
      <c r="D238" s="319" t="s">
        <v>168</v>
      </c>
      <c r="E238" s="316">
        <v>5</v>
      </c>
      <c r="F238" s="549">
        <f>5145*N238</f>
        <v>3344.25</v>
      </c>
      <c r="G238" s="317">
        <f t="shared" si="29"/>
        <v>3548.25</v>
      </c>
      <c r="H238" s="318" t="s">
        <v>130</v>
      </c>
      <c r="I238" s="296" t="s">
        <v>198</v>
      </c>
      <c r="J238" s="323">
        <v>300</v>
      </c>
      <c r="K238" s="299">
        <v>2025</v>
      </c>
      <c r="L238" s="320"/>
      <c r="M238" s="299">
        <v>204</v>
      </c>
      <c r="N238" s="299">
        <f t="shared" si="30"/>
        <v>0.65</v>
      </c>
    </row>
    <row r="239" spans="1:14" s="292" customFormat="1" ht="24.95" customHeight="1">
      <c r="A239" s="289" t="s">
        <v>1046</v>
      </c>
      <c r="B239" s="293" t="s">
        <v>1061</v>
      </c>
      <c r="C239" s="294" t="s">
        <v>66</v>
      </c>
      <c r="D239" s="319" t="s">
        <v>169</v>
      </c>
      <c r="E239" s="316">
        <v>6</v>
      </c>
      <c r="F239" s="549">
        <f>6205*N239</f>
        <v>4033.25</v>
      </c>
      <c r="G239" s="317">
        <f t="shared" si="29"/>
        <v>4259.25</v>
      </c>
      <c r="H239" s="318" t="s">
        <v>130</v>
      </c>
      <c r="I239" s="296" t="s">
        <v>198</v>
      </c>
      <c r="J239" s="323">
        <v>375</v>
      </c>
      <c r="K239" s="299">
        <v>2025</v>
      </c>
      <c r="L239" s="320"/>
      <c r="M239" s="299">
        <v>226</v>
      </c>
      <c r="N239" s="299">
        <f t="shared" si="30"/>
        <v>0.65</v>
      </c>
    </row>
    <row r="240" spans="1:14" s="292" customFormat="1" ht="24.95" customHeight="1">
      <c r="A240" s="289" t="s">
        <v>1046</v>
      </c>
      <c r="B240" s="293" t="s">
        <v>1061</v>
      </c>
      <c r="C240" s="294" t="s">
        <v>121</v>
      </c>
      <c r="D240" s="319" t="s">
        <v>170</v>
      </c>
      <c r="E240" s="316">
        <v>8</v>
      </c>
      <c r="F240" s="549">
        <f>11448*N240</f>
        <v>7441.2</v>
      </c>
      <c r="G240" s="317">
        <f t="shared" si="29"/>
        <v>7781.2</v>
      </c>
      <c r="H240" s="318" t="s">
        <v>130</v>
      </c>
      <c r="I240" s="296" t="s">
        <v>198</v>
      </c>
      <c r="J240" s="323">
        <v>488</v>
      </c>
      <c r="K240" s="299">
        <v>2025</v>
      </c>
      <c r="L240" s="320"/>
      <c r="M240" s="299">
        <v>340</v>
      </c>
      <c r="N240" s="299">
        <f t="shared" si="30"/>
        <v>0.65</v>
      </c>
    </row>
    <row r="241" spans="1:14" s="292" customFormat="1" ht="24.95" customHeight="1">
      <c r="A241" s="289" t="s">
        <v>1046</v>
      </c>
      <c r="B241" s="293" t="s">
        <v>1061</v>
      </c>
      <c r="C241" s="294" t="s">
        <v>122</v>
      </c>
      <c r="D241" s="319" t="s">
        <v>171</v>
      </c>
      <c r="E241" s="316">
        <v>10</v>
      </c>
      <c r="F241" s="549">
        <f>23432*N241</f>
        <v>15230.800000000001</v>
      </c>
      <c r="G241" s="317">
        <f t="shared" si="29"/>
        <v>15734.800000000001</v>
      </c>
      <c r="H241" s="318" t="s">
        <v>130</v>
      </c>
      <c r="I241" s="296" t="s">
        <v>198</v>
      </c>
      <c r="J241" s="323">
        <v>600</v>
      </c>
      <c r="K241" s="299">
        <v>2025</v>
      </c>
      <c r="L241" s="320"/>
      <c r="M241" s="299">
        <v>504</v>
      </c>
      <c r="N241" s="299">
        <f t="shared" si="30"/>
        <v>0.65</v>
      </c>
    </row>
    <row r="242" spans="1:14" s="292" customFormat="1" ht="24.95" customHeight="1">
      <c r="A242" s="301"/>
      <c r="B242" s="302"/>
      <c r="C242" s="302"/>
      <c r="D242" s="302"/>
      <c r="E242" s="302"/>
      <c r="F242" s="546"/>
      <c r="G242" s="302"/>
      <c r="H242" s="302"/>
      <c r="I242" s="302"/>
      <c r="J242" s="314"/>
      <c r="K242" s="302"/>
      <c r="L242" s="302"/>
      <c r="M242" s="302"/>
      <c r="N242" s="290"/>
    </row>
    <row r="243" spans="1:14" s="292" customFormat="1" ht="24.95" customHeight="1">
      <c r="A243" s="289" t="s">
        <v>1046</v>
      </c>
      <c r="B243" s="293" t="s">
        <v>98</v>
      </c>
      <c r="C243" s="294" t="s">
        <v>47</v>
      </c>
      <c r="D243" s="299" t="s">
        <v>99</v>
      </c>
      <c r="E243" s="321">
        <v>0.5</v>
      </c>
      <c r="F243" s="549">
        <f>21.8*N243</f>
        <v>13.08</v>
      </c>
      <c r="G243" s="317">
        <f t="shared" ref="G243:G248" si="31">F243+M243</f>
        <v>13.08</v>
      </c>
      <c r="H243" s="318" t="s">
        <v>130</v>
      </c>
      <c r="I243" s="296">
        <v>3028</v>
      </c>
      <c r="J243" s="323">
        <v>25</v>
      </c>
      <c r="K243" s="299">
        <v>2025</v>
      </c>
      <c r="L243" s="299"/>
      <c r="M243" s="299"/>
      <c r="N243" s="299">
        <v>0.6</v>
      </c>
    </row>
    <row r="244" spans="1:14" s="292" customFormat="1" ht="24.95" customHeight="1">
      <c r="A244" s="289" t="s">
        <v>1046</v>
      </c>
      <c r="B244" s="293" t="s">
        <v>98</v>
      </c>
      <c r="C244" s="294" t="s">
        <v>49</v>
      </c>
      <c r="D244" s="299" t="s">
        <v>104</v>
      </c>
      <c r="E244" s="321">
        <v>0.75</v>
      </c>
      <c r="F244" s="549">
        <f>30.7*N244</f>
        <v>18.419999999999998</v>
      </c>
      <c r="G244" s="317">
        <f t="shared" si="31"/>
        <v>18.419999999999998</v>
      </c>
      <c r="H244" s="318" t="s">
        <v>130</v>
      </c>
      <c r="I244" s="296">
        <v>3028</v>
      </c>
      <c r="J244" s="323">
        <v>30</v>
      </c>
      <c r="K244" s="299">
        <v>2025</v>
      </c>
      <c r="L244" s="299"/>
      <c r="M244" s="299"/>
      <c r="N244" s="299">
        <f>N243</f>
        <v>0.6</v>
      </c>
    </row>
    <row r="245" spans="1:14" s="292" customFormat="1" ht="24.95" customHeight="1">
      <c r="A245" s="289" t="s">
        <v>1046</v>
      </c>
      <c r="B245" s="293" t="s">
        <v>98</v>
      </c>
      <c r="C245" s="294" t="s">
        <v>51</v>
      </c>
      <c r="D245" s="299" t="s">
        <v>105</v>
      </c>
      <c r="E245" s="321">
        <v>1</v>
      </c>
      <c r="F245" s="549">
        <f>49.4*N245</f>
        <v>29.639999999999997</v>
      </c>
      <c r="G245" s="317">
        <f t="shared" si="31"/>
        <v>29.639999999999997</v>
      </c>
      <c r="H245" s="318" t="s">
        <v>130</v>
      </c>
      <c r="I245" s="296">
        <v>3028</v>
      </c>
      <c r="J245" s="323">
        <v>35</v>
      </c>
      <c r="K245" s="299">
        <v>2025</v>
      </c>
      <c r="L245" s="299"/>
      <c r="M245" s="299"/>
      <c r="N245" s="299">
        <f>N244</f>
        <v>0.6</v>
      </c>
    </row>
    <row r="246" spans="1:14" s="292" customFormat="1" ht="24.95" customHeight="1">
      <c r="A246" s="289" t="s">
        <v>1046</v>
      </c>
      <c r="B246" s="293" t="s">
        <v>98</v>
      </c>
      <c r="C246" s="294" t="s">
        <v>53</v>
      </c>
      <c r="D246" s="299" t="s">
        <v>106</v>
      </c>
      <c r="E246" s="321">
        <v>1.25</v>
      </c>
      <c r="F246" s="549">
        <f>69*N246</f>
        <v>41.4</v>
      </c>
      <c r="G246" s="317">
        <f t="shared" si="31"/>
        <v>41.4</v>
      </c>
      <c r="H246" s="318" t="s">
        <v>130</v>
      </c>
      <c r="I246" s="296">
        <v>3028</v>
      </c>
      <c r="J246" s="323">
        <v>50</v>
      </c>
      <c r="K246" s="299">
        <v>2025</v>
      </c>
      <c r="L246" s="299"/>
      <c r="M246" s="299"/>
      <c r="N246" s="299">
        <f>N245</f>
        <v>0.6</v>
      </c>
    </row>
    <row r="247" spans="1:14" s="292" customFormat="1" ht="24.95" customHeight="1">
      <c r="A247" s="289" t="s">
        <v>1046</v>
      </c>
      <c r="B247" s="293" t="s">
        <v>98</v>
      </c>
      <c r="C247" s="294" t="s">
        <v>55</v>
      </c>
      <c r="D247" s="299" t="s">
        <v>107</v>
      </c>
      <c r="E247" s="321">
        <v>1.5</v>
      </c>
      <c r="F247" s="549">
        <f>119.7*N247</f>
        <v>71.819999999999993</v>
      </c>
      <c r="G247" s="317">
        <f t="shared" si="31"/>
        <v>71.819999999999993</v>
      </c>
      <c r="H247" s="318" t="s">
        <v>130</v>
      </c>
      <c r="I247" s="296">
        <v>3028</v>
      </c>
      <c r="J247" s="323">
        <v>55</v>
      </c>
      <c r="K247" s="299">
        <v>2025</v>
      </c>
      <c r="L247" s="299"/>
      <c r="M247" s="299"/>
      <c r="N247" s="299">
        <f>N246</f>
        <v>0.6</v>
      </c>
    </row>
    <row r="248" spans="1:14" s="292" customFormat="1" ht="24.95" customHeight="1">
      <c r="A248" s="289" t="s">
        <v>1046</v>
      </c>
      <c r="B248" s="293" t="s">
        <v>98</v>
      </c>
      <c r="C248" s="294" t="s">
        <v>57</v>
      </c>
      <c r="D248" s="299" t="s">
        <v>31</v>
      </c>
      <c r="E248" s="321">
        <v>2</v>
      </c>
      <c r="F248" s="549">
        <f>168.6*N248</f>
        <v>101.16</v>
      </c>
      <c r="G248" s="317">
        <f t="shared" si="31"/>
        <v>101.16</v>
      </c>
      <c r="H248" s="318" t="s">
        <v>130</v>
      </c>
      <c r="I248" s="296">
        <v>3028</v>
      </c>
      <c r="J248" s="323">
        <v>75</v>
      </c>
      <c r="K248" s="299">
        <v>2025</v>
      </c>
      <c r="L248" s="299"/>
      <c r="M248" s="299"/>
      <c r="N248" s="299">
        <f>N247</f>
        <v>0.6</v>
      </c>
    </row>
    <row r="249" spans="1:14" s="292" customFormat="1" ht="24.95" customHeight="1">
      <c r="A249" s="301"/>
      <c r="B249" s="302"/>
      <c r="C249" s="302"/>
      <c r="D249" s="302"/>
      <c r="E249" s="324"/>
      <c r="F249" s="546"/>
      <c r="G249" s="302"/>
      <c r="H249" s="302"/>
      <c r="I249" s="325"/>
      <c r="J249" s="314"/>
      <c r="K249" s="302"/>
      <c r="L249" s="302"/>
      <c r="M249" s="302"/>
      <c r="N249" s="290"/>
    </row>
    <row r="250" spans="1:14" s="292" customFormat="1" ht="24.95" customHeight="1">
      <c r="A250" s="289" t="s">
        <v>1046</v>
      </c>
      <c r="B250" s="293" t="s">
        <v>1057</v>
      </c>
      <c r="C250" s="294" t="s">
        <v>47</v>
      </c>
      <c r="D250" s="299" t="s">
        <v>99</v>
      </c>
      <c r="E250" s="321">
        <v>0.5</v>
      </c>
      <c r="F250" s="549">
        <f>24.7*N250</f>
        <v>14.819999999999999</v>
      </c>
      <c r="G250" s="317">
        <f t="shared" ref="G250:G255" si="32">F250+M250</f>
        <v>14.819999999999999</v>
      </c>
      <c r="H250" s="318" t="s">
        <v>130</v>
      </c>
      <c r="I250" s="296">
        <v>3121</v>
      </c>
      <c r="J250" s="323">
        <v>25</v>
      </c>
      <c r="K250" s="299">
        <v>2025</v>
      </c>
      <c r="L250" s="299"/>
      <c r="M250" s="299"/>
      <c r="N250" s="299">
        <f>N248</f>
        <v>0.6</v>
      </c>
    </row>
    <row r="251" spans="1:14" s="292" customFormat="1" ht="24.95" customHeight="1">
      <c r="A251" s="289" t="s">
        <v>1046</v>
      </c>
      <c r="B251" s="293" t="s">
        <v>1057</v>
      </c>
      <c r="C251" s="294" t="s">
        <v>49</v>
      </c>
      <c r="D251" s="299" t="s">
        <v>104</v>
      </c>
      <c r="E251" s="321">
        <v>0.75</v>
      </c>
      <c r="F251" s="549">
        <f>34.8*N251</f>
        <v>20.88</v>
      </c>
      <c r="G251" s="317">
        <f t="shared" si="32"/>
        <v>20.88</v>
      </c>
      <c r="H251" s="318" t="s">
        <v>130</v>
      </c>
      <c r="I251" s="296">
        <v>3121</v>
      </c>
      <c r="J251" s="323">
        <v>30</v>
      </c>
      <c r="K251" s="299">
        <v>2025</v>
      </c>
      <c r="L251" s="299"/>
      <c r="M251" s="299"/>
      <c r="N251" s="299">
        <f>N250</f>
        <v>0.6</v>
      </c>
    </row>
    <row r="252" spans="1:14" s="292" customFormat="1" ht="24.95" customHeight="1">
      <c r="A252" s="289" t="s">
        <v>1046</v>
      </c>
      <c r="B252" s="293" t="s">
        <v>1057</v>
      </c>
      <c r="C252" s="294" t="s">
        <v>51</v>
      </c>
      <c r="D252" s="299" t="s">
        <v>105</v>
      </c>
      <c r="E252" s="321">
        <v>1</v>
      </c>
      <c r="F252" s="549">
        <f>52.2*N252</f>
        <v>31.32</v>
      </c>
      <c r="G252" s="317">
        <f t="shared" si="32"/>
        <v>31.32</v>
      </c>
      <c r="H252" s="318" t="s">
        <v>130</v>
      </c>
      <c r="I252" s="296">
        <v>3121</v>
      </c>
      <c r="J252" s="323">
        <v>35</v>
      </c>
      <c r="K252" s="299">
        <v>2025</v>
      </c>
      <c r="L252" s="299"/>
      <c r="M252" s="299"/>
      <c r="N252" s="299">
        <f>N251</f>
        <v>0.6</v>
      </c>
    </row>
    <row r="253" spans="1:14" s="292" customFormat="1" ht="24.95" customHeight="1">
      <c r="A253" s="289" t="s">
        <v>1046</v>
      </c>
      <c r="B253" s="293" t="s">
        <v>1057</v>
      </c>
      <c r="C253" s="294" t="s">
        <v>53</v>
      </c>
      <c r="D253" s="299" t="s">
        <v>106</v>
      </c>
      <c r="E253" s="321">
        <v>1.25</v>
      </c>
      <c r="F253" s="549">
        <f>73.2*N253</f>
        <v>43.92</v>
      </c>
      <c r="G253" s="317">
        <f t="shared" si="32"/>
        <v>43.92</v>
      </c>
      <c r="H253" s="318" t="s">
        <v>130</v>
      </c>
      <c r="I253" s="296">
        <v>3121</v>
      </c>
      <c r="J253" s="323">
        <v>50</v>
      </c>
      <c r="K253" s="299">
        <v>2025</v>
      </c>
      <c r="L253" s="299"/>
      <c r="M253" s="299"/>
      <c r="N253" s="299">
        <f>N252</f>
        <v>0.6</v>
      </c>
    </row>
    <row r="254" spans="1:14" s="292" customFormat="1" ht="24.95" customHeight="1">
      <c r="A254" s="289" t="s">
        <v>1046</v>
      </c>
      <c r="B254" s="293" t="s">
        <v>1057</v>
      </c>
      <c r="C254" s="294" t="s">
        <v>55</v>
      </c>
      <c r="D254" s="299" t="s">
        <v>107</v>
      </c>
      <c r="E254" s="321">
        <v>1.5</v>
      </c>
      <c r="F254" s="549">
        <f>97.2*N254</f>
        <v>58.32</v>
      </c>
      <c r="G254" s="317">
        <f t="shared" si="32"/>
        <v>58.32</v>
      </c>
      <c r="H254" s="318" t="s">
        <v>130</v>
      </c>
      <c r="I254" s="296">
        <v>3121</v>
      </c>
      <c r="J254" s="323">
        <v>55</v>
      </c>
      <c r="K254" s="299">
        <v>2025</v>
      </c>
      <c r="L254" s="299"/>
      <c r="M254" s="299"/>
      <c r="N254" s="299">
        <f>N253</f>
        <v>0.6</v>
      </c>
    </row>
    <row r="255" spans="1:14" s="292" customFormat="1" ht="24.95" customHeight="1">
      <c r="A255" s="289" t="s">
        <v>1046</v>
      </c>
      <c r="B255" s="293" t="s">
        <v>1057</v>
      </c>
      <c r="C255" s="294" t="s">
        <v>57</v>
      </c>
      <c r="D255" s="299" t="s">
        <v>31</v>
      </c>
      <c r="E255" s="321">
        <v>2</v>
      </c>
      <c r="F255" s="549">
        <f>154.9*N255</f>
        <v>92.94</v>
      </c>
      <c r="G255" s="317">
        <f t="shared" si="32"/>
        <v>92.94</v>
      </c>
      <c r="H255" s="318" t="s">
        <v>130</v>
      </c>
      <c r="I255" s="296">
        <v>3121</v>
      </c>
      <c r="J255" s="323">
        <v>75</v>
      </c>
      <c r="K255" s="299">
        <v>2025</v>
      </c>
      <c r="L255" s="299"/>
      <c r="M255" s="299"/>
      <c r="N255" s="299">
        <f>N254</f>
        <v>0.6</v>
      </c>
    </row>
    <row r="256" spans="1:14" s="292" customFormat="1" ht="24.95" customHeight="1">
      <c r="A256" s="301"/>
      <c r="B256" s="302"/>
      <c r="C256" s="302"/>
      <c r="D256" s="302"/>
      <c r="E256" s="324"/>
      <c r="F256" s="546"/>
      <c r="G256" s="302"/>
      <c r="H256" s="326"/>
      <c r="I256" s="325"/>
      <c r="J256" s="314"/>
      <c r="K256" s="302"/>
      <c r="L256" s="302"/>
      <c r="M256" s="302"/>
      <c r="N256" s="290"/>
    </row>
    <row r="257" spans="1:14" s="292" customFormat="1" ht="24.95" customHeight="1">
      <c r="A257" s="289" t="s">
        <v>1046</v>
      </c>
      <c r="B257" s="293" t="s">
        <v>1047</v>
      </c>
      <c r="C257" s="294" t="s">
        <v>47</v>
      </c>
      <c r="D257" s="299" t="s">
        <v>99</v>
      </c>
      <c r="E257" s="321">
        <v>0.5</v>
      </c>
      <c r="F257" s="549">
        <f>23.2*N257</f>
        <v>13.92</v>
      </c>
      <c r="G257" s="317">
        <f t="shared" ref="G257:G262" si="33">F257+M257</f>
        <v>13.92</v>
      </c>
      <c r="H257" s="318" t="s">
        <v>130</v>
      </c>
      <c r="I257" s="296">
        <v>3302</v>
      </c>
      <c r="J257" s="323">
        <v>25</v>
      </c>
      <c r="K257" s="299">
        <v>2025</v>
      </c>
      <c r="L257" s="299"/>
      <c r="M257" s="299"/>
      <c r="N257" s="299">
        <f>N255</f>
        <v>0.6</v>
      </c>
    </row>
    <row r="258" spans="1:14" s="292" customFormat="1" ht="24.95" customHeight="1">
      <c r="A258" s="289" t="s">
        <v>1046</v>
      </c>
      <c r="B258" s="293" t="s">
        <v>1047</v>
      </c>
      <c r="C258" s="294" t="s">
        <v>49</v>
      </c>
      <c r="D258" s="299" t="s">
        <v>104</v>
      </c>
      <c r="E258" s="321">
        <v>0.75</v>
      </c>
      <c r="F258" s="549">
        <f>35.3*N258</f>
        <v>21.179999999999996</v>
      </c>
      <c r="G258" s="317">
        <f t="shared" si="33"/>
        <v>21.179999999999996</v>
      </c>
      <c r="H258" s="318" t="s">
        <v>130</v>
      </c>
      <c r="I258" s="296">
        <v>3302</v>
      </c>
      <c r="J258" s="323">
        <v>30</v>
      </c>
      <c r="K258" s="299">
        <v>2025</v>
      </c>
      <c r="L258" s="299"/>
      <c r="M258" s="299"/>
      <c r="N258" s="299">
        <f>N257</f>
        <v>0.6</v>
      </c>
    </row>
    <row r="259" spans="1:14" s="292" customFormat="1" ht="24.95" customHeight="1">
      <c r="A259" s="289" t="s">
        <v>1046</v>
      </c>
      <c r="B259" s="293" t="s">
        <v>1047</v>
      </c>
      <c r="C259" s="294" t="s">
        <v>51</v>
      </c>
      <c r="D259" s="299" t="s">
        <v>105</v>
      </c>
      <c r="E259" s="321">
        <v>1</v>
      </c>
      <c r="F259" s="549">
        <f>52.3*N259</f>
        <v>31.379999999999995</v>
      </c>
      <c r="G259" s="317">
        <f t="shared" si="33"/>
        <v>31.379999999999995</v>
      </c>
      <c r="H259" s="318" t="s">
        <v>130</v>
      </c>
      <c r="I259" s="296">
        <v>3302</v>
      </c>
      <c r="J259" s="323">
        <v>35</v>
      </c>
      <c r="K259" s="299">
        <v>2025</v>
      </c>
      <c r="L259" s="299"/>
      <c r="M259" s="299"/>
      <c r="N259" s="299">
        <f>N258</f>
        <v>0.6</v>
      </c>
    </row>
    <row r="260" spans="1:14" s="292" customFormat="1" ht="24.95" customHeight="1">
      <c r="A260" s="289" t="s">
        <v>1046</v>
      </c>
      <c r="B260" s="293" t="s">
        <v>1047</v>
      </c>
      <c r="C260" s="294" t="s">
        <v>53</v>
      </c>
      <c r="D260" s="299" t="s">
        <v>106</v>
      </c>
      <c r="E260" s="321">
        <v>1.25</v>
      </c>
      <c r="F260" s="549">
        <f>105.3*N260</f>
        <v>63.179999999999993</v>
      </c>
      <c r="G260" s="317">
        <f t="shared" si="33"/>
        <v>63.179999999999993</v>
      </c>
      <c r="H260" s="318" t="s">
        <v>130</v>
      </c>
      <c r="I260" s="296">
        <v>3302</v>
      </c>
      <c r="J260" s="323">
        <v>50</v>
      </c>
      <c r="K260" s="299">
        <v>2025</v>
      </c>
      <c r="L260" s="299"/>
      <c r="M260" s="299"/>
      <c r="N260" s="299">
        <f>N259</f>
        <v>0.6</v>
      </c>
    </row>
    <row r="261" spans="1:14" s="292" customFormat="1" ht="24.95" customHeight="1">
      <c r="A261" s="289" t="s">
        <v>1046</v>
      </c>
      <c r="B261" s="293" t="s">
        <v>1047</v>
      </c>
      <c r="C261" s="294" t="s">
        <v>55</v>
      </c>
      <c r="D261" s="299" t="s">
        <v>107</v>
      </c>
      <c r="E261" s="321">
        <v>1.5</v>
      </c>
      <c r="F261" s="549">
        <f>139.5*N261</f>
        <v>83.7</v>
      </c>
      <c r="G261" s="317">
        <f t="shared" si="33"/>
        <v>83.7</v>
      </c>
      <c r="H261" s="318" t="s">
        <v>130</v>
      </c>
      <c r="I261" s="296">
        <v>3302</v>
      </c>
      <c r="J261" s="323">
        <v>55</v>
      </c>
      <c r="K261" s="299">
        <v>2025</v>
      </c>
      <c r="L261" s="299"/>
      <c r="M261" s="299"/>
      <c r="N261" s="299">
        <f>N260</f>
        <v>0.6</v>
      </c>
    </row>
    <row r="262" spans="1:14" s="292" customFormat="1" ht="24.95" customHeight="1">
      <c r="A262" s="289" t="s">
        <v>1046</v>
      </c>
      <c r="B262" s="293" t="s">
        <v>1047</v>
      </c>
      <c r="C262" s="294" t="s">
        <v>57</v>
      </c>
      <c r="D262" s="299" t="s">
        <v>31</v>
      </c>
      <c r="E262" s="321">
        <v>2</v>
      </c>
      <c r="F262" s="549">
        <f>231.2*N262</f>
        <v>138.72</v>
      </c>
      <c r="G262" s="317">
        <f t="shared" si="33"/>
        <v>138.72</v>
      </c>
      <c r="H262" s="318" t="s">
        <v>130</v>
      </c>
      <c r="I262" s="296">
        <v>3302</v>
      </c>
      <c r="J262" s="323">
        <v>75</v>
      </c>
      <c r="K262" s="299">
        <v>2025</v>
      </c>
      <c r="L262" s="299"/>
      <c r="M262" s="299"/>
      <c r="N262" s="299">
        <f>N261</f>
        <v>0.6</v>
      </c>
    </row>
    <row r="263" spans="1:14" s="292" customFormat="1" ht="24.95" customHeight="1">
      <c r="A263" s="301"/>
      <c r="B263" s="302"/>
      <c r="C263" s="302"/>
      <c r="D263" s="302"/>
      <c r="E263" s="324"/>
      <c r="F263" s="546"/>
      <c r="G263" s="302"/>
      <c r="H263" s="302"/>
      <c r="I263" s="302"/>
      <c r="J263" s="314"/>
      <c r="K263" s="302"/>
      <c r="L263" s="302"/>
      <c r="M263" s="302"/>
      <c r="N263" s="290"/>
    </row>
    <row r="264" spans="1:14" s="292" customFormat="1" ht="24.95" customHeight="1">
      <c r="A264" s="289" t="s">
        <v>1046</v>
      </c>
      <c r="B264" s="320" t="s">
        <v>199</v>
      </c>
      <c r="C264" s="299" t="s">
        <v>94</v>
      </c>
      <c r="D264" s="299" t="s">
        <v>185</v>
      </c>
      <c r="E264" s="321">
        <v>0.375</v>
      </c>
      <c r="F264" s="549">
        <f>N265*529.3</f>
        <v>264.64999999999998</v>
      </c>
      <c r="G264" s="317">
        <f>F264+M264</f>
        <v>264.64999999999998</v>
      </c>
      <c r="H264" s="318" t="s">
        <v>138</v>
      </c>
      <c r="I264" s="296" t="s">
        <v>200</v>
      </c>
      <c r="J264" s="323">
        <v>37</v>
      </c>
      <c r="K264" s="299">
        <v>2025</v>
      </c>
      <c r="L264" s="299"/>
      <c r="M264" s="299"/>
      <c r="N264" s="299">
        <v>0.5</v>
      </c>
    </row>
    <row r="265" spans="1:14" s="292" customFormat="1" ht="24.95" customHeight="1">
      <c r="A265" s="289" t="s">
        <v>1046</v>
      </c>
      <c r="B265" s="320" t="s">
        <v>199</v>
      </c>
      <c r="C265" s="299" t="s">
        <v>47</v>
      </c>
      <c r="D265" s="299" t="s">
        <v>99</v>
      </c>
      <c r="E265" s="321">
        <v>0.5</v>
      </c>
      <c r="F265" s="549">
        <f>N265*529.3</f>
        <v>264.64999999999998</v>
      </c>
      <c r="G265" s="317">
        <f t="shared" ref="G265:G280" si="34">F265+M265</f>
        <v>264.64999999999998</v>
      </c>
      <c r="H265" s="318" t="s">
        <v>138</v>
      </c>
      <c r="I265" s="296" t="s">
        <v>200</v>
      </c>
      <c r="J265" s="323">
        <v>37</v>
      </c>
      <c r="K265" s="299">
        <v>2025</v>
      </c>
      <c r="L265" s="299"/>
      <c r="M265" s="299"/>
      <c r="N265" s="299">
        <f>N264</f>
        <v>0.5</v>
      </c>
    </row>
    <row r="266" spans="1:14" s="292" customFormat="1" ht="24.95" customHeight="1">
      <c r="A266" s="289" t="s">
        <v>1046</v>
      </c>
      <c r="B266" s="320" t="s">
        <v>199</v>
      </c>
      <c r="C266" s="299" t="s">
        <v>49</v>
      </c>
      <c r="D266" s="299" t="s">
        <v>104</v>
      </c>
      <c r="E266" s="321">
        <v>0.75</v>
      </c>
      <c r="F266" s="549">
        <f>N266*570.4</f>
        <v>285.2</v>
      </c>
      <c r="G266" s="317">
        <f t="shared" si="34"/>
        <v>285.2</v>
      </c>
      <c r="H266" s="318" t="s">
        <v>138</v>
      </c>
      <c r="I266" s="296" t="s">
        <v>200</v>
      </c>
      <c r="J266" s="323">
        <v>50</v>
      </c>
      <c r="K266" s="299">
        <v>2025</v>
      </c>
      <c r="L266" s="299"/>
      <c r="M266" s="299"/>
      <c r="N266" s="299">
        <f t="shared" ref="N266:N280" si="35">N265</f>
        <v>0.5</v>
      </c>
    </row>
    <row r="267" spans="1:14" s="292" customFormat="1" ht="24.95" customHeight="1">
      <c r="A267" s="289" t="s">
        <v>1046</v>
      </c>
      <c r="B267" s="320" t="s">
        <v>199</v>
      </c>
      <c r="C267" s="299" t="s">
        <v>51</v>
      </c>
      <c r="D267" s="299" t="s">
        <v>105</v>
      </c>
      <c r="E267" s="321">
        <v>1</v>
      </c>
      <c r="F267" s="549">
        <f>N267*630</f>
        <v>315</v>
      </c>
      <c r="G267" s="317">
        <f t="shared" si="34"/>
        <v>315</v>
      </c>
      <c r="H267" s="318" t="s">
        <v>138</v>
      </c>
      <c r="I267" s="296" t="s">
        <v>200</v>
      </c>
      <c r="J267" s="323">
        <v>56</v>
      </c>
      <c r="K267" s="299">
        <v>2025</v>
      </c>
      <c r="L267" s="299"/>
      <c r="M267" s="299"/>
      <c r="N267" s="299">
        <f t="shared" si="35"/>
        <v>0.5</v>
      </c>
    </row>
    <row r="268" spans="1:14" s="292" customFormat="1" ht="24.95" customHeight="1">
      <c r="A268" s="289" t="s">
        <v>1046</v>
      </c>
      <c r="B268" s="320" t="s">
        <v>199</v>
      </c>
      <c r="C268" s="299" t="s">
        <v>53</v>
      </c>
      <c r="D268" s="299" t="s">
        <v>106</v>
      </c>
      <c r="E268" s="321">
        <v>1.25</v>
      </c>
      <c r="F268" s="549">
        <f>N268*750.7</f>
        <v>375.35</v>
      </c>
      <c r="G268" s="317">
        <f t="shared" si="34"/>
        <v>375.35</v>
      </c>
      <c r="H268" s="318" t="s">
        <v>138</v>
      </c>
      <c r="I268" s="296" t="s">
        <v>200</v>
      </c>
      <c r="J268" s="323">
        <v>62</v>
      </c>
      <c r="K268" s="299">
        <v>2025</v>
      </c>
      <c r="L268" s="299"/>
      <c r="M268" s="299"/>
      <c r="N268" s="299">
        <f t="shared" si="35"/>
        <v>0.5</v>
      </c>
    </row>
    <row r="269" spans="1:14" s="292" customFormat="1" ht="24.95" customHeight="1">
      <c r="A269" s="289" t="s">
        <v>1046</v>
      </c>
      <c r="B269" s="320" t="s">
        <v>199</v>
      </c>
      <c r="C269" s="299" t="s">
        <v>55</v>
      </c>
      <c r="D269" s="299" t="s">
        <v>107</v>
      </c>
      <c r="E269" s="321">
        <v>1.5</v>
      </c>
      <c r="F269" s="549">
        <f>N269*926.5</f>
        <v>463.25</v>
      </c>
      <c r="G269" s="317">
        <f t="shared" si="34"/>
        <v>463.25</v>
      </c>
      <c r="H269" s="318" t="s">
        <v>138</v>
      </c>
      <c r="I269" s="296" t="s">
        <v>200</v>
      </c>
      <c r="J269" s="323">
        <v>81</v>
      </c>
      <c r="K269" s="299">
        <v>2025</v>
      </c>
      <c r="L269" s="299"/>
      <c r="M269" s="299"/>
      <c r="N269" s="299">
        <f t="shared" si="35"/>
        <v>0.5</v>
      </c>
    </row>
    <row r="270" spans="1:14" s="292" customFormat="1" ht="24.95" customHeight="1">
      <c r="A270" s="289" t="s">
        <v>1046</v>
      </c>
      <c r="B270" s="320" t="s">
        <v>199</v>
      </c>
      <c r="C270" s="299" t="s">
        <v>57</v>
      </c>
      <c r="D270" s="299" t="s">
        <v>31</v>
      </c>
      <c r="E270" s="321">
        <v>2</v>
      </c>
      <c r="F270" s="549">
        <f>N270*1155.8</f>
        <v>577.9</v>
      </c>
      <c r="G270" s="317">
        <f t="shared" si="34"/>
        <v>577.9</v>
      </c>
      <c r="H270" s="318" t="s">
        <v>138</v>
      </c>
      <c r="I270" s="296" t="s">
        <v>200</v>
      </c>
      <c r="J270" s="323">
        <v>100</v>
      </c>
      <c r="K270" s="299">
        <v>2025</v>
      </c>
      <c r="L270" s="299"/>
      <c r="M270" s="299"/>
      <c r="N270" s="299">
        <f t="shared" si="35"/>
        <v>0.5</v>
      </c>
    </row>
    <row r="271" spans="1:14" s="292" customFormat="1" ht="24.95" customHeight="1">
      <c r="A271" s="289" t="s">
        <v>1046</v>
      </c>
      <c r="B271" s="320" t="s">
        <v>199</v>
      </c>
      <c r="C271" s="299" t="s">
        <v>59</v>
      </c>
      <c r="D271" s="299" t="s">
        <v>1053</v>
      </c>
      <c r="E271" s="321">
        <v>2.5</v>
      </c>
      <c r="F271" s="549">
        <f>N271*2598.7</f>
        <v>1299.3499999999999</v>
      </c>
      <c r="G271" s="317">
        <f t="shared" si="34"/>
        <v>1383.35</v>
      </c>
      <c r="H271" s="318" t="s">
        <v>138</v>
      </c>
      <c r="I271" s="296" t="s">
        <v>201</v>
      </c>
      <c r="J271" s="323">
        <v>125</v>
      </c>
      <c r="K271" s="299">
        <v>2025</v>
      </c>
      <c r="L271" s="299"/>
      <c r="M271" s="299">
        <v>84</v>
      </c>
      <c r="N271" s="299">
        <f t="shared" si="35"/>
        <v>0.5</v>
      </c>
    </row>
    <row r="272" spans="1:14" s="292" customFormat="1" ht="24.95" customHeight="1">
      <c r="A272" s="289" t="s">
        <v>1046</v>
      </c>
      <c r="B272" s="320" t="s">
        <v>199</v>
      </c>
      <c r="C272" s="299" t="s">
        <v>60</v>
      </c>
      <c r="D272" s="299" t="s">
        <v>1054</v>
      </c>
      <c r="E272" s="321">
        <v>3</v>
      </c>
      <c r="F272" s="549">
        <f>4998.7*N272</f>
        <v>2499.35</v>
      </c>
      <c r="G272" s="317">
        <f t="shared" si="34"/>
        <v>2605.35</v>
      </c>
      <c r="H272" s="318" t="s">
        <v>138</v>
      </c>
      <c r="I272" s="296" t="s">
        <v>201</v>
      </c>
      <c r="J272" s="323">
        <v>150</v>
      </c>
      <c r="K272" s="299">
        <v>2025</v>
      </c>
      <c r="L272" s="299"/>
      <c r="M272" s="299">
        <v>106</v>
      </c>
      <c r="N272" s="299">
        <f t="shared" si="35"/>
        <v>0.5</v>
      </c>
    </row>
    <row r="273" spans="1:18" s="292" customFormat="1" ht="24.95" customHeight="1">
      <c r="A273" s="289" t="s">
        <v>1046</v>
      </c>
      <c r="B273" s="320" t="s">
        <v>199</v>
      </c>
      <c r="C273" s="299" t="s">
        <v>62</v>
      </c>
      <c r="D273" s="319" t="s">
        <v>210</v>
      </c>
      <c r="E273" s="321">
        <v>4</v>
      </c>
      <c r="F273" s="549">
        <f>N273*7239.9</f>
        <v>3619.95</v>
      </c>
      <c r="G273" s="317">
        <f t="shared" si="34"/>
        <v>3745.95</v>
      </c>
      <c r="H273" s="318" t="s">
        <v>138</v>
      </c>
      <c r="I273" s="296" t="s">
        <v>201</v>
      </c>
      <c r="J273" s="323">
        <v>175</v>
      </c>
      <c r="K273" s="299">
        <v>2025</v>
      </c>
      <c r="L273" s="299"/>
      <c r="M273" s="299">
        <v>126</v>
      </c>
      <c r="N273" s="299">
        <f t="shared" si="35"/>
        <v>0.5</v>
      </c>
    </row>
    <row r="274" spans="1:18" s="292" customFormat="1" ht="24.95" customHeight="1">
      <c r="A274" s="289" t="s">
        <v>1046</v>
      </c>
      <c r="B274" s="320" t="s">
        <v>199</v>
      </c>
      <c r="C274" s="299" t="s">
        <v>63</v>
      </c>
      <c r="D274" s="319" t="s">
        <v>168</v>
      </c>
      <c r="E274" s="321">
        <v>5</v>
      </c>
      <c r="F274" s="549">
        <f>N274*9300.9</f>
        <v>4650.45</v>
      </c>
      <c r="G274" s="317">
        <f t="shared" si="34"/>
        <v>4854.45</v>
      </c>
      <c r="H274" s="318" t="s">
        <v>138</v>
      </c>
      <c r="I274" s="296" t="s">
        <v>201</v>
      </c>
      <c r="J274" s="323">
        <v>225</v>
      </c>
      <c r="K274" s="299">
        <v>2025</v>
      </c>
      <c r="L274" s="299"/>
      <c r="M274" s="299">
        <v>204</v>
      </c>
      <c r="N274" s="299">
        <f t="shared" si="35"/>
        <v>0.5</v>
      </c>
    </row>
    <row r="275" spans="1:18" s="292" customFormat="1" ht="24.95" customHeight="1">
      <c r="A275" s="289" t="s">
        <v>1046</v>
      </c>
      <c r="B275" s="320" t="s">
        <v>199</v>
      </c>
      <c r="C275" s="299" t="s">
        <v>66</v>
      </c>
      <c r="D275" s="319" t="s">
        <v>169</v>
      </c>
      <c r="E275" s="321">
        <v>6</v>
      </c>
      <c r="F275" s="549">
        <f>N275*12282.3</f>
        <v>6141.15</v>
      </c>
      <c r="G275" s="317">
        <f t="shared" si="34"/>
        <v>6367.15</v>
      </c>
      <c r="H275" s="318" t="s">
        <v>138</v>
      </c>
      <c r="I275" s="296" t="s">
        <v>201</v>
      </c>
      <c r="J275" s="323">
        <v>262</v>
      </c>
      <c r="K275" s="299">
        <v>2025</v>
      </c>
      <c r="L275" s="299"/>
      <c r="M275" s="299">
        <v>226</v>
      </c>
      <c r="N275" s="299">
        <f t="shared" si="35"/>
        <v>0.5</v>
      </c>
    </row>
    <row r="276" spans="1:18" s="292" customFormat="1" ht="24.95" customHeight="1">
      <c r="A276" s="289" t="s">
        <v>1046</v>
      </c>
      <c r="B276" s="320" t="s">
        <v>199</v>
      </c>
      <c r="C276" s="299" t="s">
        <v>121</v>
      </c>
      <c r="D276" s="319" t="s">
        <v>170</v>
      </c>
      <c r="E276" s="321">
        <v>8</v>
      </c>
      <c r="F276" s="549">
        <f>N276*26546.9</f>
        <v>13273.45</v>
      </c>
      <c r="G276" s="317">
        <f t="shared" si="34"/>
        <v>13613.45</v>
      </c>
      <c r="H276" s="318" t="s">
        <v>138</v>
      </c>
      <c r="I276" s="296" t="s">
        <v>202</v>
      </c>
      <c r="J276" s="323">
        <v>337</v>
      </c>
      <c r="K276" s="299">
        <v>2025</v>
      </c>
      <c r="L276" s="299"/>
      <c r="M276" s="299">
        <v>340</v>
      </c>
      <c r="N276" s="299">
        <f t="shared" si="35"/>
        <v>0.5</v>
      </c>
    </row>
    <row r="277" spans="1:18" s="292" customFormat="1" ht="24.95" customHeight="1">
      <c r="A277" s="289" t="s">
        <v>1046</v>
      </c>
      <c r="B277" s="320" t="s">
        <v>199</v>
      </c>
      <c r="C277" s="299" t="s">
        <v>122</v>
      </c>
      <c r="D277" s="319" t="s">
        <v>171</v>
      </c>
      <c r="E277" s="321">
        <v>10</v>
      </c>
      <c r="F277" s="549">
        <f>N277*34626.2</f>
        <v>17313.099999999999</v>
      </c>
      <c r="G277" s="317">
        <f t="shared" si="34"/>
        <v>17817.099999999999</v>
      </c>
      <c r="H277" s="318" t="s">
        <v>138</v>
      </c>
      <c r="I277" s="296" t="s">
        <v>202</v>
      </c>
      <c r="J277" s="323">
        <v>425</v>
      </c>
      <c r="K277" s="299">
        <v>2025</v>
      </c>
      <c r="L277" s="299"/>
      <c r="M277" s="299">
        <v>504</v>
      </c>
      <c r="N277" s="299">
        <f t="shared" si="35"/>
        <v>0.5</v>
      </c>
    </row>
    <row r="278" spans="1:18" s="292" customFormat="1" ht="24.95" customHeight="1">
      <c r="A278" s="289" t="s">
        <v>1046</v>
      </c>
      <c r="B278" s="320" t="s">
        <v>199</v>
      </c>
      <c r="C278" s="299" t="s">
        <v>156</v>
      </c>
      <c r="D278" s="319" t="s">
        <v>172</v>
      </c>
      <c r="E278" s="321">
        <v>12</v>
      </c>
      <c r="F278" s="549">
        <f>N278*68978.7</f>
        <v>34489.35</v>
      </c>
      <c r="G278" s="317">
        <f t="shared" si="34"/>
        <v>35173.35</v>
      </c>
      <c r="H278" s="318" t="s">
        <v>138</v>
      </c>
      <c r="I278" s="296" t="s">
        <v>202</v>
      </c>
      <c r="J278" s="323"/>
      <c r="K278" s="299">
        <v>2025</v>
      </c>
      <c r="L278" s="299"/>
      <c r="M278" s="299">
        <v>684</v>
      </c>
      <c r="N278" s="299">
        <f t="shared" si="35"/>
        <v>0.5</v>
      </c>
    </row>
    <row r="279" spans="1:18" s="292" customFormat="1" ht="24.95" customHeight="1">
      <c r="A279" s="289" t="s">
        <v>1046</v>
      </c>
      <c r="B279" s="320" t="s">
        <v>199</v>
      </c>
      <c r="C279" s="299" t="s">
        <v>158</v>
      </c>
      <c r="D279" s="319" t="s">
        <v>175</v>
      </c>
      <c r="E279" s="321">
        <v>14</v>
      </c>
      <c r="F279" s="549">
        <f>N279*82800</f>
        <v>41400</v>
      </c>
      <c r="G279" s="317">
        <f t="shared" si="34"/>
        <v>42546</v>
      </c>
      <c r="H279" s="318" t="s">
        <v>138</v>
      </c>
      <c r="I279" s="296" t="s">
        <v>202</v>
      </c>
      <c r="J279" s="327"/>
      <c r="K279" s="299">
        <v>2025</v>
      </c>
      <c r="L279" s="299"/>
      <c r="M279" s="299">
        <v>1146</v>
      </c>
      <c r="N279" s="299">
        <f t="shared" si="35"/>
        <v>0.5</v>
      </c>
    </row>
    <row r="280" spans="1:18" s="292" customFormat="1" ht="24.95" customHeight="1">
      <c r="A280" s="289" t="s">
        <v>1046</v>
      </c>
      <c r="B280" s="320" t="s">
        <v>199</v>
      </c>
      <c r="C280" s="299" t="s">
        <v>176</v>
      </c>
      <c r="D280" s="319" t="s">
        <v>177</v>
      </c>
      <c r="E280" s="321">
        <v>16</v>
      </c>
      <c r="F280" s="549">
        <f>N280*89228.8</f>
        <v>44614.400000000001</v>
      </c>
      <c r="G280" s="317">
        <f t="shared" si="34"/>
        <v>45958.400000000001</v>
      </c>
      <c r="H280" s="318" t="s">
        <v>138</v>
      </c>
      <c r="I280" s="296" t="s">
        <v>202</v>
      </c>
      <c r="J280" s="327"/>
      <c r="K280" s="299">
        <v>2025</v>
      </c>
      <c r="L280" s="299"/>
      <c r="M280" s="299">
        <v>1344</v>
      </c>
      <c r="N280" s="299">
        <f t="shared" si="35"/>
        <v>0.5</v>
      </c>
    </row>
    <row r="281" spans="1:18" s="292" customFormat="1" ht="24.95" customHeight="1">
      <c r="A281" s="301"/>
      <c r="B281" s="328"/>
      <c r="C281" s="302"/>
      <c r="D281" s="302"/>
      <c r="E281" s="329"/>
      <c r="F281" s="546"/>
      <c r="G281" s="302"/>
      <c r="H281" s="302"/>
      <c r="I281" s="302"/>
      <c r="J281" s="314"/>
      <c r="K281" s="302"/>
      <c r="L281" s="302"/>
      <c r="M281" s="302"/>
      <c r="N281" s="290"/>
    </row>
    <row r="282" spans="1:18" s="292" customFormat="1" ht="24.95" customHeight="1">
      <c r="A282" s="289" t="s">
        <v>1046</v>
      </c>
      <c r="B282" s="330" t="s">
        <v>204</v>
      </c>
      <c r="C282" s="299" t="s">
        <v>94</v>
      </c>
      <c r="D282" s="299" t="s">
        <v>185</v>
      </c>
      <c r="E282" s="321">
        <v>0.375</v>
      </c>
      <c r="F282" s="549">
        <f>N282*596</f>
        <v>298</v>
      </c>
      <c r="G282" s="317">
        <f>F282+L282</f>
        <v>398.6</v>
      </c>
      <c r="H282" s="318" t="s">
        <v>138</v>
      </c>
      <c r="I282" s="296" t="s">
        <v>205</v>
      </c>
      <c r="J282" s="323">
        <v>87</v>
      </c>
      <c r="K282" s="299">
        <v>2025</v>
      </c>
      <c r="L282" s="299">
        <f t="shared" ref="L282:L287" si="36">0.5*201.2</f>
        <v>100.6</v>
      </c>
      <c r="M282" s="299"/>
      <c r="N282" s="299">
        <f>N280</f>
        <v>0.5</v>
      </c>
      <c r="Q282" s="292" t="s">
        <v>166</v>
      </c>
      <c r="R282" s="292" t="s">
        <v>1062</v>
      </c>
    </row>
    <row r="283" spans="1:18" s="292" customFormat="1" ht="24.95" customHeight="1">
      <c r="A283" s="289" t="s">
        <v>1046</v>
      </c>
      <c r="B283" s="330" t="s">
        <v>204</v>
      </c>
      <c r="C283" s="299" t="s">
        <v>47</v>
      </c>
      <c r="D283" s="299" t="s">
        <v>99</v>
      </c>
      <c r="E283" s="321">
        <v>0.5</v>
      </c>
      <c r="F283" s="549">
        <f>N283*599.9</f>
        <v>299.95</v>
      </c>
      <c r="G283" s="317">
        <f t="shared" ref="G283:G304" si="37">F283+L283</f>
        <v>400.54999999999995</v>
      </c>
      <c r="H283" s="318" t="s">
        <v>138</v>
      </c>
      <c r="I283" s="296" t="s">
        <v>205</v>
      </c>
      <c r="J283" s="323">
        <v>87</v>
      </c>
      <c r="K283" s="299">
        <v>2025</v>
      </c>
      <c r="L283" s="299">
        <f t="shared" si="36"/>
        <v>100.6</v>
      </c>
      <c r="M283" s="299"/>
      <c r="N283" s="299">
        <f>N282</f>
        <v>0.5</v>
      </c>
      <c r="Q283" s="292" t="s">
        <v>166</v>
      </c>
      <c r="R283" s="292" t="s">
        <v>1062</v>
      </c>
    </row>
    <row r="284" spans="1:18" s="292" customFormat="1" ht="24.95" customHeight="1">
      <c r="A284" s="289" t="s">
        <v>1046</v>
      </c>
      <c r="B284" s="330" t="s">
        <v>204</v>
      </c>
      <c r="C284" s="299" t="s">
        <v>206</v>
      </c>
      <c r="D284" s="299" t="s">
        <v>99</v>
      </c>
      <c r="E284" s="321">
        <v>0.5</v>
      </c>
      <c r="F284" s="549">
        <f>N283*599.9</f>
        <v>299.95</v>
      </c>
      <c r="G284" s="317">
        <f t="shared" si="37"/>
        <v>400.54999999999995</v>
      </c>
      <c r="H284" s="318" t="s">
        <v>138</v>
      </c>
      <c r="I284" s="296" t="s">
        <v>205</v>
      </c>
      <c r="J284" s="323">
        <v>87</v>
      </c>
      <c r="K284" s="299">
        <v>2025</v>
      </c>
      <c r="L284" s="299">
        <f t="shared" si="36"/>
        <v>100.6</v>
      </c>
      <c r="M284" s="299"/>
      <c r="N284" s="299">
        <f>N283</f>
        <v>0.5</v>
      </c>
      <c r="Q284" s="292" t="s">
        <v>166</v>
      </c>
      <c r="R284" s="292" t="s">
        <v>1062</v>
      </c>
    </row>
    <row r="285" spans="1:18" s="292" customFormat="1" ht="24.95" customHeight="1">
      <c r="A285" s="289" t="s">
        <v>1046</v>
      </c>
      <c r="B285" s="330" t="s">
        <v>204</v>
      </c>
      <c r="C285" s="299" t="s">
        <v>49</v>
      </c>
      <c r="D285" s="299" t="s">
        <v>104</v>
      </c>
      <c r="E285" s="321">
        <v>0.75</v>
      </c>
      <c r="F285" s="549">
        <f>N284*688.6</f>
        <v>344.3</v>
      </c>
      <c r="G285" s="317">
        <f t="shared" si="37"/>
        <v>444.9</v>
      </c>
      <c r="H285" s="318" t="s">
        <v>138</v>
      </c>
      <c r="I285" s="296" t="s">
        <v>205</v>
      </c>
      <c r="J285" s="323">
        <v>100</v>
      </c>
      <c r="K285" s="299">
        <v>2025</v>
      </c>
      <c r="L285" s="299">
        <f t="shared" si="36"/>
        <v>100.6</v>
      </c>
      <c r="M285" s="299"/>
      <c r="N285" s="299">
        <f>N284</f>
        <v>0.5</v>
      </c>
      <c r="Q285" s="292" t="s">
        <v>166</v>
      </c>
      <c r="R285" s="292" t="s">
        <v>1062</v>
      </c>
    </row>
    <row r="286" spans="1:18" s="292" customFormat="1" ht="24.95" customHeight="1">
      <c r="A286" s="289" t="s">
        <v>1046</v>
      </c>
      <c r="B286" s="330" t="s">
        <v>204</v>
      </c>
      <c r="C286" s="299" t="s">
        <v>51</v>
      </c>
      <c r="D286" s="299" t="s">
        <v>105</v>
      </c>
      <c r="E286" s="321">
        <v>1</v>
      </c>
      <c r="F286" s="549">
        <f>N285*835.5</f>
        <v>417.75</v>
      </c>
      <c r="G286" s="317">
        <f t="shared" si="37"/>
        <v>518.35</v>
      </c>
      <c r="H286" s="318" t="s">
        <v>138</v>
      </c>
      <c r="I286" s="296" t="s">
        <v>205</v>
      </c>
      <c r="J286" s="323">
        <v>106</v>
      </c>
      <c r="K286" s="299">
        <v>2025</v>
      </c>
      <c r="L286" s="299">
        <f t="shared" si="36"/>
        <v>100.6</v>
      </c>
      <c r="M286" s="299"/>
      <c r="N286" s="299">
        <f>N285</f>
        <v>0.5</v>
      </c>
      <c r="Q286" s="292" t="s">
        <v>166</v>
      </c>
      <c r="R286" s="292" t="s">
        <v>1062</v>
      </c>
    </row>
    <row r="287" spans="1:18" s="292" customFormat="1" ht="24.95" customHeight="1">
      <c r="A287" s="289" t="s">
        <v>1046</v>
      </c>
      <c r="B287" s="330" t="s">
        <v>204</v>
      </c>
      <c r="C287" s="299" t="s">
        <v>53</v>
      </c>
      <c r="D287" s="299" t="s">
        <v>106</v>
      </c>
      <c r="E287" s="321">
        <v>1.25</v>
      </c>
      <c r="F287" s="549">
        <f>N287*1228.4</f>
        <v>614.20000000000005</v>
      </c>
      <c r="G287" s="317">
        <f t="shared" si="37"/>
        <v>714.80000000000007</v>
      </c>
      <c r="H287" s="318" t="s">
        <v>138</v>
      </c>
      <c r="I287" s="296" t="s">
        <v>205</v>
      </c>
      <c r="J287" s="323">
        <v>112</v>
      </c>
      <c r="K287" s="299">
        <v>2025</v>
      </c>
      <c r="L287" s="299">
        <f t="shared" si="36"/>
        <v>100.6</v>
      </c>
      <c r="M287" s="299"/>
      <c r="N287" s="299">
        <f>N286</f>
        <v>0.5</v>
      </c>
      <c r="Q287" s="292" t="s">
        <v>166</v>
      </c>
      <c r="R287" s="292" t="s">
        <v>1062</v>
      </c>
    </row>
    <row r="288" spans="1:18" s="292" customFormat="1" ht="24.95" customHeight="1">
      <c r="A288" s="331"/>
      <c r="B288" s="328"/>
      <c r="C288" s="302"/>
      <c r="D288" s="302"/>
      <c r="E288" s="329"/>
      <c r="F288" s="546"/>
      <c r="G288" s="302"/>
      <c r="H288" s="302"/>
      <c r="I288" s="302"/>
      <c r="J288" s="314"/>
      <c r="K288" s="302"/>
      <c r="L288" s="302"/>
      <c r="M288" s="302"/>
      <c r="N288" s="290"/>
    </row>
    <row r="289" spans="1:18" s="292" customFormat="1" ht="24.95" customHeight="1">
      <c r="A289" s="289" t="s">
        <v>1046</v>
      </c>
      <c r="B289" s="330" t="s">
        <v>204</v>
      </c>
      <c r="C289" s="299" t="s">
        <v>47</v>
      </c>
      <c r="D289" s="299" t="s">
        <v>99</v>
      </c>
      <c r="E289" s="321">
        <v>0.5</v>
      </c>
      <c r="F289" s="549">
        <f>N289*733</f>
        <v>366.5</v>
      </c>
      <c r="G289" s="317">
        <f t="shared" si="37"/>
        <v>799.85</v>
      </c>
      <c r="H289" s="318" t="s">
        <v>138</v>
      </c>
      <c r="I289" s="296" t="s">
        <v>207</v>
      </c>
      <c r="J289" s="323">
        <v>87</v>
      </c>
      <c r="K289" s="299">
        <v>2025</v>
      </c>
      <c r="L289" s="299">
        <f>0.5*866.7</f>
        <v>433.35</v>
      </c>
      <c r="M289" s="299"/>
      <c r="N289" s="299">
        <f>N287</f>
        <v>0.5</v>
      </c>
      <c r="Q289" s="292" t="s">
        <v>166</v>
      </c>
      <c r="R289" s="292" t="s">
        <v>1063</v>
      </c>
    </row>
    <row r="290" spans="1:18" s="292" customFormat="1" ht="24.95" customHeight="1">
      <c r="A290" s="289" t="s">
        <v>1046</v>
      </c>
      <c r="B290" s="330" t="s">
        <v>204</v>
      </c>
      <c r="C290" s="299" t="s">
        <v>49</v>
      </c>
      <c r="D290" s="299" t="s">
        <v>104</v>
      </c>
      <c r="E290" s="321">
        <v>0.75</v>
      </c>
      <c r="F290" s="549">
        <f>N290*841.6</f>
        <v>420.8</v>
      </c>
      <c r="G290" s="317">
        <f t="shared" si="37"/>
        <v>854.15000000000009</v>
      </c>
      <c r="H290" s="318" t="s">
        <v>138</v>
      </c>
      <c r="I290" s="296" t="s">
        <v>207</v>
      </c>
      <c r="J290" s="323">
        <v>100</v>
      </c>
      <c r="K290" s="299">
        <v>2025</v>
      </c>
      <c r="L290" s="299">
        <f>0.5*866.7</f>
        <v>433.35</v>
      </c>
      <c r="M290" s="299"/>
      <c r="N290" s="299">
        <f>N289</f>
        <v>0.5</v>
      </c>
      <c r="Q290" s="292" t="s">
        <v>166</v>
      </c>
      <c r="R290" s="292" t="s">
        <v>1063</v>
      </c>
    </row>
    <row r="291" spans="1:18" s="292" customFormat="1" ht="24.95" customHeight="1">
      <c r="A291" s="289" t="s">
        <v>1046</v>
      </c>
      <c r="B291" s="330" t="s">
        <v>204</v>
      </c>
      <c r="C291" s="299" t="s">
        <v>51</v>
      </c>
      <c r="D291" s="299" t="s">
        <v>105</v>
      </c>
      <c r="E291" s="321">
        <v>1</v>
      </c>
      <c r="F291" s="549">
        <f>N291*1020.7</f>
        <v>510.35</v>
      </c>
      <c r="G291" s="317">
        <f t="shared" si="37"/>
        <v>943.7</v>
      </c>
      <c r="H291" s="318" t="s">
        <v>138</v>
      </c>
      <c r="I291" s="296" t="s">
        <v>207</v>
      </c>
      <c r="J291" s="323">
        <v>106</v>
      </c>
      <c r="K291" s="299">
        <v>2025</v>
      </c>
      <c r="L291" s="299">
        <f>0.5*866.7</f>
        <v>433.35</v>
      </c>
      <c r="M291" s="299"/>
      <c r="N291" s="299">
        <f t="shared" ref="N291:N304" si="38">N290</f>
        <v>0.5</v>
      </c>
      <c r="Q291" s="292" t="s">
        <v>166</v>
      </c>
      <c r="R291" s="292" t="s">
        <v>1063</v>
      </c>
    </row>
    <row r="292" spans="1:18" s="292" customFormat="1" ht="24.95" customHeight="1">
      <c r="A292" s="289" t="s">
        <v>1046</v>
      </c>
      <c r="B292" s="330" t="s">
        <v>204</v>
      </c>
      <c r="C292" s="299" t="s">
        <v>53</v>
      </c>
      <c r="D292" s="299" t="s">
        <v>106</v>
      </c>
      <c r="E292" s="321">
        <v>1.25</v>
      </c>
      <c r="F292" s="549">
        <f>N291*1501.7</f>
        <v>750.85</v>
      </c>
      <c r="G292" s="317">
        <f t="shared" si="37"/>
        <v>1184.2</v>
      </c>
      <c r="H292" s="318" t="s">
        <v>138</v>
      </c>
      <c r="I292" s="296" t="s">
        <v>207</v>
      </c>
      <c r="J292" s="323">
        <v>112</v>
      </c>
      <c r="K292" s="299">
        <v>2025</v>
      </c>
      <c r="L292" s="299">
        <f>0.5*866.7</f>
        <v>433.35</v>
      </c>
      <c r="M292" s="299"/>
      <c r="N292" s="299">
        <f t="shared" si="38"/>
        <v>0.5</v>
      </c>
      <c r="Q292" s="292" t="s">
        <v>166</v>
      </c>
      <c r="R292" s="292" t="s">
        <v>1063</v>
      </c>
    </row>
    <row r="293" spans="1:18" s="292" customFormat="1" ht="24.95" customHeight="1">
      <c r="A293" s="289" t="s">
        <v>1046</v>
      </c>
      <c r="B293" s="330" t="s">
        <v>204</v>
      </c>
      <c r="C293" s="299" t="s">
        <v>55</v>
      </c>
      <c r="D293" s="299" t="s">
        <v>107</v>
      </c>
      <c r="E293" s="321">
        <v>1.5</v>
      </c>
      <c r="F293" s="549">
        <f>N293*4586.5</f>
        <v>2293.25</v>
      </c>
      <c r="G293" s="317">
        <f t="shared" si="37"/>
        <v>3143.65</v>
      </c>
      <c r="H293" s="318" t="s">
        <v>138</v>
      </c>
      <c r="I293" s="296" t="s">
        <v>207</v>
      </c>
      <c r="J293" s="323">
        <v>131</v>
      </c>
      <c r="K293" s="299">
        <v>2025</v>
      </c>
      <c r="L293" s="299">
        <f>0.5*1700.8</f>
        <v>850.4</v>
      </c>
      <c r="M293" s="299"/>
      <c r="N293" s="299">
        <f t="shared" si="38"/>
        <v>0.5</v>
      </c>
      <c r="Q293" s="292" t="s">
        <v>166</v>
      </c>
      <c r="R293" s="292" t="s">
        <v>1064</v>
      </c>
    </row>
    <row r="294" spans="1:18" s="292" customFormat="1" ht="24.95" customHeight="1">
      <c r="A294" s="289" t="s">
        <v>1046</v>
      </c>
      <c r="B294" s="330" t="s">
        <v>204</v>
      </c>
      <c r="C294" s="299" t="s">
        <v>57</v>
      </c>
      <c r="D294" s="299" t="s">
        <v>31</v>
      </c>
      <c r="E294" s="321">
        <v>2</v>
      </c>
      <c r="F294" s="549">
        <f>N294*5297.3</f>
        <v>2648.65</v>
      </c>
      <c r="G294" s="317">
        <f t="shared" si="37"/>
        <v>3499.05</v>
      </c>
      <c r="H294" s="318" t="s">
        <v>138</v>
      </c>
      <c r="I294" s="296" t="s">
        <v>207</v>
      </c>
      <c r="J294" s="323">
        <v>150</v>
      </c>
      <c r="K294" s="299">
        <v>2025</v>
      </c>
      <c r="L294" s="299">
        <f>0.5*1700.8</f>
        <v>850.4</v>
      </c>
      <c r="M294" s="299"/>
      <c r="N294" s="299">
        <f t="shared" si="38"/>
        <v>0.5</v>
      </c>
      <c r="Q294" s="292" t="s">
        <v>166</v>
      </c>
      <c r="R294" s="292" t="s">
        <v>1064</v>
      </c>
    </row>
    <row r="295" spans="1:18" s="292" customFormat="1" ht="24.95" customHeight="1">
      <c r="A295" s="289" t="s">
        <v>1046</v>
      </c>
      <c r="B295" s="330" t="s">
        <v>204</v>
      </c>
      <c r="C295" s="299" t="s">
        <v>59</v>
      </c>
      <c r="D295" s="299" t="s">
        <v>1053</v>
      </c>
      <c r="E295" s="321">
        <v>2.5</v>
      </c>
      <c r="F295" s="549">
        <f>N295*11189.7</f>
        <v>5594.85</v>
      </c>
      <c r="G295" s="317">
        <f t="shared" si="37"/>
        <v>6872.9500000000007</v>
      </c>
      <c r="H295" s="318" t="s">
        <v>138</v>
      </c>
      <c r="I295" s="296" t="s">
        <v>207</v>
      </c>
      <c r="J295" s="323">
        <v>175</v>
      </c>
      <c r="K295" s="299">
        <v>2025</v>
      </c>
      <c r="L295" s="299">
        <f t="shared" ref="L295:L300" si="39">0.5*2556.2</f>
        <v>1278.0999999999999</v>
      </c>
      <c r="M295" s="299">
        <v>84</v>
      </c>
      <c r="N295" s="299">
        <f t="shared" si="38"/>
        <v>0.5</v>
      </c>
      <c r="Q295" s="292" t="s">
        <v>166</v>
      </c>
      <c r="R295" s="292" t="s">
        <v>1065</v>
      </c>
    </row>
    <row r="296" spans="1:18" s="292" customFormat="1" ht="24.95" customHeight="1">
      <c r="A296" s="289" t="s">
        <v>1046</v>
      </c>
      <c r="B296" s="330" t="s">
        <v>204</v>
      </c>
      <c r="C296" s="299" t="s">
        <v>60</v>
      </c>
      <c r="D296" s="299" t="s">
        <v>1054</v>
      </c>
      <c r="E296" s="321">
        <v>3</v>
      </c>
      <c r="F296" s="549">
        <f>N296*12571.2</f>
        <v>6285.6</v>
      </c>
      <c r="G296" s="317">
        <f t="shared" si="37"/>
        <v>7563.7000000000007</v>
      </c>
      <c r="H296" s="318" t="s">
        <v>138</v>
      </c>
      <c r="I296" s="296" t="s">
        <v>207</v>
      </c>
      <c r="J296" s="323">
        <v>200</v>
      </c>
      <c r="K296" s="299">
        <v>2025</v>
      </c>
      <c r="L296" s="299">
        <f t="shared" si="39"/>
        <v>1278.0999999999999</v>
      </c>
      <c r="M296" s="299">
        <v>106</v>
      </c>
      <c r="N296" s="299">
        <f t="shared" si="38"/>
        <v>0.5</v>
      </c>
      <c r="Q296" s="292" t="s">
        <v>166</v>
      </c>
      <c r="R296" s="292" t="s">
        <v>1065</v>
      </c>
    </row>
    <row r="297" spans="1:18" s="292" customFormat="1" ht="24.95" customHeight="1">
      <c r="A297" s="289" t="s">
        <v>1046</v>
      </c>
      <c r="B297" s="330" t="s">
        <v>204</v>
      </c>
      <c r="C297" s="299" t="s">
        <v>208</v>
      </c>
      <c r="D297" s="319" t="s">
        <v>210</v>
      </c>
      <c r="E297" s="321">
        <v>4</v>
      </c>
      <c r="F297" s="549">
        <f>N297*19575.1</f>
        <v>9787.5499999999993</v>
      </c>
      <c r="G297" s="317">
        <f t="shared" si="37"/>
        <v>11065.65</v>
      </c>
      <c r="H297" s="318" t="s">
        <v>138</v>
      </c>
      <c r="I297" s="296" t="s">
        <v>207</v>
      </c>
      <c r="J297" s="323">
        <v>225</v>
      </c>
      <c r="K297" s="299">
        <v>2025</v>
      </c>
      <c r="L297" s="299">
        <f t="shared" si="39"/>
        <v>1278.0999999999999</v>
      </c>
      <c r="M297" s="299">
        <v>126</v>
      </c>
      <c r="N297" s="299">
        <f t="shared" si="38"/>
        <v>0.5</v>
      </c>
      <c r="Q297" s="292" t="s">
        <v>166</v>
      </c>
      <c r="R297" s="292" t="s">
        <v>1065</v>
      </c>
    </row>
    <row r="298" spans="1:18" s="292" customFormat="1" ht="24.95" customHeight="1">
      <c r="A298" s="289" t="s">
        <v>1046</v>
      </c>
      <c r="B298" s="330" t="s">
        <v>204</v>
      </c>
      <c r="C298" s="299" t="s">
        <v>209</v>
      </c>
      <c r="D298" s="319" t="s">
        <v>210</v>
      </c>
      <c r="E298" s="321">
        <v>4</v>
      </c>
      <c r="F298" s="549">
        <f>N298*21594.6</f>
        <v>10797.3</v>
      </c>
      <c r="G298" s="317">
        <f t="shared" si="37"/>
        <v>12075.4</v>
      </c>
      <c r="H298" s="318" t="s">
        <v>138</v>
      </c>
      <c r="I298" s="296" t="s">
        <v>207</v>
      </c>
      <c r="J298" s="323">
        <v>225</v>
      </c>
      <c r="K298" s="299">
        <v>2025</v>
      </c>
      <c r="L298" s="299">
        <f t="shared" si="39"/>
        <v>1278.0999999999999</v>
      </c>
      <c r="M298" s="299">
        <v>126</v>
      </c>
      <c r="N298" s="299">
        <f t="shared" si="38"/>
        <v>0.5</v>
      </c>
      <c r="Q298" s="292" t="s">
        <v>166</v>
      </c>
      <c r="R298" s="292" t="s">
        <v>1065</v>
      </c>
    </row>
    <row r="299" spans="1:18" s="292" customFormat="1" ht="24.95" customHeight="1">
      <c r="A299" s="289" t="s">
        <v>1046</v>
      </c>
      <c r="B299" s="330" t="s">
        <v>204</v>
      </c>
      <c r="C299" s="299" t="s">
        <v>63</v>
      </c>
      <c r="D299" s="319" t="s">
        <v>168</v>
      </c>
      <c r="E299" s="321">
        <v>5</v>
      </c>
      <c r="F299" s="549">
        <f>N299*28741.1</f>
        <v>14370.55</v>
      </c>
      <c r="G299" s="317">
        <f t="shared" si="37"/>
        <v>15648.65</v>
      </c>
      <c r="H299" s="318" t="s">
        <v>138</v>
      </c>
      <c r="I299" s="296" t="s">
        <v>207</v>
      </c>
      <c r="J299" s="323">
        <v>275</v>
      </c>
      <c r="K299" s="299">
        <v>2025</v>
      </c>
      <c r="L299" s="299">
        <f t="shared" si="39"/>
        <v>1278.0999999999999</v>
      </c>
      <c r="M299" s="299">
        <v>204</v>
      </c>
      <c r="N299" s="299">
        <f t="shared" si="38"/>
        <v>0.5</v>
      </c>
      <c r="Q299" s="292" t="s">
        <v>166</v>
      </c>
      <c r="R299" s="292" t="s">
        <v>1065</v>
      </c>
    </row>
    <row r="300" spans="1:18" s="292" customFormat="1" ht="24.95" customHeight="1">
      <c r="A300" s="289" t="s">
        <v>1046</v>
      </c>
      <c r="B300" s="330" t="s">
        <v>204</v>
      </c>
      <c r="C300" s="299" t="s">
        <v>211</v>
      </c>
      <c r="D300" s="319" t="s">
        <v>168</v>
      </c>
      <c r="E300" s="321">
        <v>5</v>
      </c>
      <c r="F300" s="549">
        <f>N300*30760.7</f>
        <v>15380.35</v>
      </c>
      <c r="G300" s="317">
        <f t="shared" si="37"/>
        <v>16658.45</v>
      </c>
      <c r="H300" s="318" t="s">
        <v>138</v>
      </c>
      <c r="I300" s="296" t="s">
        <v>207</v>
      </c>
      <c r="J300" s="323">
        <v>275</v>
      </c>
      <c r="K300" s="299">
        <v>2025</v>
      </c>
      <c r="L300" s="299">
        <f t="shared" si="39"/>
        <v>1278.0999999999999</v>
      </c>
      <c r="M300" s="299">
        <v>204</v>
      </c>
      <c r="N300" s="299">
        <f t="shared" si="38"/>
        <v>0.5</v>
      </c>
      <c r="Q300" s="292" t="s">
        <v>166</v>
      </c>
      <c r="R300" s="292" t="s">
        <v>1065</v>
      </c>
    </row>
    <row r="301" spans="1:18" s="292" customFormat="1" ht="24.95" customHeight="1">
      <c r="A301" s="289" t="s">
        <v>1046</v>
      </c>
      <c r="B301" s="330" t="s">
        <v>204</v>
      </c>
      <c r="C301" s="299" t="s">
        <v>66</v>
      </c>
      <c r="D301" s="319" t="s">
        <v>169</v>
      </c>
      <c r="E301" s="321">
        <v>6</v>
      </c>
      <c r="F301" s="549">
        <f>N301*45364.2</f>
        <v>22682.1</v>
      </c>
      <c r="G301" s="317">
        <f t="shared" si="37"/>
        <v>24456.799999999999</v>
      </c>
      <c r="H301" s="318" t="s">
        <v>138</v>
      </c>
      <c r="I301" s="296" t="s">
        <v>207</v>
      </c>
      <c r="J301" s="323">
        <v>312</v>
      </c>
      <c r="K301" s="299">
        <v>2025</v>
      </c>
      <c r="L301" s="299">
        <f>0.5*3549.4</f>
        <v>1774.7</v>
      </c>
      <c r="M301" s="299">
        <v>226</v>
      </c>
      <c r="N301" s="299">
        <f t="shared" si="38"/>
        <v>0.5</v>
      </c>
      <c r="Q301" s="292" t="s">
        <v>166</v>
      </c>
      <c r="R301" s="292" t="s">
        <v>1066</v>
      </c>
    </row>
    <row r="302" spans="1:18" s="292" customFormat="1" ht="24.95" customHeight="1">
      <c r="A302" s="289" t="s">
        <v>1046</v>
      </c>
      <c r="B302" s="330" t="s">
        <v>204</v>
      </c>
      <c r="C302" s="299" t="s">
        <v>212</v>
      </c>
      <c r="D302" s="319" t="s">
        <v>169</v>
      </c>
      <c r="E302" s="321">
        <v>6</v>
      </c>
      <c r="F302" s="549">
        <f>N302*46451.8</f>
        <v>23225.9</v>
      </c>
      <c r="G302" s="317">
        <f t="shared" si="37"/>
        <v>25000.600000000002</v>
      </c>
      <c r="H302" s="318" t="s">
        <v>138</v>
      </c>
      <c r="I302" s="296" t="s">
        <v>207</v>
      </c>
      <c r="J302" s="323">
        <v>312</v>
      </c>
      <c r="K302" s="299">
        <v>2025</v>
      </c>
      <c r="L302" s="299">
        <f>0.5*3549.4</f>
        <v>1774.7</v>
      </c>
      <c r="M302" s="299">
        <v>226</v>
      </c>
      <c r="N302" s="299">
        <f t="shared" si="38"/>
        <v>0.5</v>
      </c>
      <c r="Q302" s="292" t="s">
        <v>166</v>
      </c>
      <c r="R302" s="292" t="s">
        <v>1066</v>
      </c>
    </row>
    <row r="303" spans="1:18" s="292" customFormat="1" ht="24.95" customHeight="1">
      <c r="A303" s="289" t="s">
        <v>1046</v>
      </c>
      <c r="B303" s="330" t="s">
        <v>204</v>
      </c>
      <c r="C303" s="299" t="s">
        <v>213</v>
      </c>
      <c r="D303" s="319" t="s">
        <v>170</v>
      </c>
      <c r="E303" s="321">
        <v>8</v>
      </c>
      <c r="F303" s="549">
        <f>N303*60482.6</f>
        <v>30241.3</v>
      </c>
      <c r="G303" s="317">
        <f t="shared" si="37"/>
        <v>32016</v>
      </c>
      <c r="H303" s="318" t="s">
        <v>138</v>
      </c>
      <c r="I303" s="296" t="s">
        <v>207</v>
      </c>
      <c r="J303" s="323">
        <v>387</v>
      </c>
      <c r="K303" s="299">
        <v>2025</v>
      </c>
      <c r="L303" s="299">
        <f>0.5*3549.4</f>
        <v>1774.7</v>
      </c>
      <c r="M303" s="299">
        <v>340</v>
      </c>
      <c r="N303" s="299">
        <f t="shared" si="38"/>
        <v>0.5</v>
      </c>
      <c r="Q303" s="292" t="s">
        <v>166</v>
      </c>
      <c r="R303" s="292" t="s">
        <v>1066</v>
      </c>
    </row>
    <row r="304" spans="1:18" s="292" customFormat="1" ht="24.95" customHeight="1">
      <c r="A304" s="289" t="s">
        <v>1046</v>
      </c>
      <c r="B304" s="330" t="s">
        <v>204</v>
      </c>
      <c r="C304" s="299" t="s">
        <v>214</v>
      </c>
      <c r="D304" s="319" t="s">
        <v>170</v>
      </c>
      <c r="E304" s="321">
        <v>8</v>
      </c>
      <c r="F304" s="549">
        <f>N304*59640.8</f>
        <v>29820.400000000001</v>
      </c>
      <c r="G304" s="317">
        <f t="shared" si="37"/>
        <v>31595.100000000002</v>
      </c>
      <c r="H304" s="318" t="s">
        <v>138</v>
      </c>
      <c r="I304" s="296" t="s">
        <v>207</v>
      </c>
      <c r="J304" s="323">
        <v>387</v>
      </c>
      <c r="K304" s="299">
        <v>2025</v>
      </c>
      <c r="L304" s="299">
        <f>0.5*3549.4</f>
        <v>1774.7</v>
      </c>
      <c r="M304" s="299">
        <v>340</v>
      </c>
      <c r="N304" s="299">
        <f t="shared" si="38"/>
        <v>0.5</v>
      </c>
      <c r="Q304" s="292" t="s">
        <v>166</v>
      </c>
      <c r="R304" s="292" t="s">
        <v>1066</v>
      </c>
    </row>
    <row r="305" spans="1:14" s="292" customFormat="1" ht="24.95" customHeight="1">
      <c r="A305" s="331"/>
      <c r="B305" s="328"/>
      <c r="C305" s="302"/>
      <c r="D305" s="302"/>
      <c r="E305" s="329"/>
      <c r="F305" s="546"/>
      <c r="G305" s="302"/>
      <c r="H305" s="302"/>
      <c r="I305" s="302"/>
      <c r="J305" s="314"/>
      <c r="K305" s="302"/>
      <c r="L305" s="302"/>
      <c r="M305" s="302"/>
      <c r="N305" s="290"/>
    </row>
    <row r="306" spans="1:14" s="292" customFormat="1" ht="24.95" customHeight="1">
      <c r="A306" s="289" t="s">
        <v>1046</v>
      </c>
      <c r="B306" s="330" t="s">
        <v>215</v>
      </c>
      <c r="C306" s="299" t="s">
        <v>94</v>
      </c>
      <c r="D306" s="299" t="s">
        <v>185</v>
      </c>
      <c r="E306" s="321">
        <v>0.375</v>
      </c>
      <c r="F306" s="549">
        <f>N306*596</f>
        <v>298</v>
      </c>
      <c r="G306" s="317">
        <f t="shared" ref="G306:G311" si="40">F306+M306</f>
        <v>298</v>
      </c>
      <c r="H306" s="318" t="s">
        <v>138</v>
      </c>
      <c r="I306" s="296" t="s">
        <v>205</v>
      </c>
      <c r="J306" s="323">
        <v>37</v>
      </c>
      <c r="K306" s="299">
        <v>2025</v>
      </c>
      <c r="L306" s="299"/>
      <c r="M306" s="299"/>
      <c r="N306" s="299">
        <f>N304</f>
        <v>0.5</v>
      </c>
    </row>
    <row r="307" spans="1:14" s="292" customFormat="1" ht="24.95" customHeight="1">
      <c r="A307" s="289" t="s">
        <v>1046</v>
      </c>
      <c r="B307" s="330" t="s">
        <v>215</v>
      </c>
      <c r="C307" s="299" t="s">
        <v>47</v>
      </c>
      <c r="D307" s="299" t="s">
        <v>99</v>
      </c>
      <c r="E307" s="321">
        <v>0.5</v>
      </c>
      <c r="F307" s="549">
        <f>N307*599.9</f>
        <v>299.95</v>
      </c>
      <c r="G307" s="317">
        <f t="shared" si="40"/>
        <v>299.95</v>
      </c>
      <c r="H307" s="318" t="s">
        <v>138</v>
      </c>
      <c r="I307" s="296" t="s">
        <v>205</v>
      </c>
      <c r="J307" s="323">
        <v>37</v>
      </c>
      <c r="K307" s="299">
        <v>2025</v>
      </c>
      <c r="L307" s="299"/>
      <c r="M307" s="299"/>
      <c r="N307" s="299">
        <f>N306</f>
        <v>0.5</v>
      </c>
    </row>
    <row r="308" spans="1:14" s="292" customFormat="1" ht="24.95" customHeight="1">
      <c r="A308" s="289" t="s">
        <v>1046</v>
      </c>
      <c r="B308" s="330" t="s">
        <v>215</v>
      </c>
      <c r="C308" s="299" t="s">
        <v>206</v>
      </c>
      <c r="D308" s="299" t="s">
        <v>99</v>
      </c>
      <c r="E308" s="321">
        <v>0.5</v>
      </c>
      <c r="F308" s="549">
        <f>N308*599.9</f>
        <v>299.95</v>
      </c>
      <c r="G308" s="317">
        <f t="shared" si="40"/>
        <v>299.95</v>
      </c>
      <c r="H308" s="318" t="s">
        <v>138</v>
      </c>
      <c r="I308" s="296" t="s">
        <v>205</v>
      </c>
      <c r="J308" s="323">
        <v>37</v>
      </c>
      <c r="K308" s="299">
        <v>2025</v>
      </c>
      <c r="L308" s="299"/>
      <c r="M308" s="299"/>
      <c r="N308" s="299">
        <f>N307</f>
        <v>0.5</v>
      </c>
    </row>
    <row r="309" spans="1:14" s="292" customFormat="1" ht="24.95" customHeight="1">
      <c r="A309" s="289" t="s">
        <v>1046</v>
      </c>
      <c r="B309" s="330" t="s">
        <v>215</v>
      </c>
      <c r="C309" s="299" t="s">
        <v>49</v>
      </c>
      <c r="D309" s="299" t="s">
        <v>104</v>
      </c>
      <c r="E309" s="321">
        <v>0.75</v>
      </c>
      <c r="F309" s="549">
        <f>N309*688.6</f>
        <v>344.3</v>
      </c>
      <c r="G309" s="317">
        <f t="shared" si="40"/>
        <v>344.3</v>
      </c>
      <c r="H309" s="318" t="s">
        <v>138</v>
      </c>
      <c r="I309" s="296" t="s">
        <v>205</v>
      </c>
      <c r="J309" s="323">
        <v>50</v>
      </c>
      <c r="K309" s="299">
        <v>2025</v>
      </c>
      <c r="L309" s="299"/>
      <c r="M309" s="299"/>
      <c r="N309" s="299">
        <f>N308</f>
        <v>0.5</v>
      </c>
    </row>
    <row r="310" spans="1:14" s="292" customFormat="1" ht="24.95" customHeight="1">
      <c r="A310" s="289" t="s">
        <v>1046</v>
      </c>
      <c r="B310" s="330" t="s">
        <v>215</v>
      </c>
      <c r="C310" s="299" t="s">
        <v>51</v>
      </c>
      <c r="D310" s="299" t="s">
        <v>105</v>
      </c>
      <c r="E310" s="321">
        <v>1</v>
      </c>
      <c r="F310" s="549">
        <f>N310*835.5</f>
        <v>417.75</v>
      </c>
      <c r="G310" s="317">
        <f t="shared" si="40"/>
        <v>417.75</v>
      </c>
      <c r="H310" s="318" t="s">
        <v>138</v>
      </c>
      <c r="I310" s="296" t="s">
        <v>205</v>
      </c>
      <c r="J310" s="323">
        <v>56</v>
      </c>
      <c r="K310" s="299">
        <v>2025</v>
      </c>
      <c r="L310" s="299"/>
      <c r="M310" s="299"/>
      <c r="N310" s="299">
        <f>N309</f>
        <v>0.5</v>
      </c>
    </row>
    <row r="311" spans="1:14" s="292" customFormat="1" ht="24.95" customHeight="1">
      <c r="A311" s="289" t="s">
        <v>1046</v>
      </c>
      <c r="B311" s="330" t="s">
        <v>215</v>
      </c>
      <c r="C311" s="299" t="s">
        <v>53</v>
      </c>
      <c r="D311" s="299" t="s">
        <v>106</v>
      </c>
      <c r="E311" s="321">
        <v>1.25</v>
      </c>
      <c r="F311" s="549">
        <f>N311*1228.4</f>
        <v>614.20000000000005</v>
      </c>
      <c r="G311" s="317">
        <f t="shared" si="40"/>
        <v>614.20000000000005</v>
      </c>
      <c r="H311" s="318" t="s">
        <v>138</v>
      </c>
      <c r="I311" s="296" t="s">
        <v>205</v>
      </c>
      <c r="J311" s="323">
        <v>62</v>
      </c>
      <c r="K311" s="299">
        <v>2025</v>
      </c>
      <c r="L311" s="299"/>
      <c r="M311" s="299"/>
      <c r="N311" s="299">
        <f>N310</f>
        <v>0.5</v>
      </c>
    </row>
    <row r="312" spans="1:14" s="292" customFormat="1" ht="24.95" customHeight="1">
      <c r="A312" s="331"/>
      <c r="B312" s="328"/>
      <c r="C312" s="302"/>
      <c r="D312" s="302"/>
      <c r="E312" s="329"/>
      <c r="F312" s="546"/>
      <c r="G312" s="302"/>
      <c r="H312" s="302"/>
      <c r="I312" s="302"/>
      <c r="J312" s="314"/>
      <c r="K312" s="302"/>
      <c r="L312" s="302"/>
      <c r="M312" s="302"/>
      <c r="N312" s="290"/>
    </row>
    <row r="313" spans="1:14" s="292" customFormat="1" ht="24.95" customHeight="1">
      <c r="A313" s="289" t="s">
        <v>1046</v>
      </c>
      <c r="B313" s="330" t="s">
        <v>216</v>
      </c>
      <c r="C313" s="299" t="s">
        <v>47</v>
      </c>
      <c r="D313" s="299" t="s">
        <v>99</v>
      </c>
      <c r="E313" s="321">
        <v>0.5</v>
      </c>
      <c r="F313" s="549">
        <f>N313*733</f>
        <v>366.5</v>
      </c>
      <c r="G313" s="317">
        <f t="shared" ref="G313:G328" si="41">F313+M313</f>
        <v>366.5</v>
      </c>
      <c r="H313" s="318" t="s">
        <v>138</v>
      </c>
      <c r="I313" s="296" t="s">
        <v>207</v>
      </c>
      <c r="J313" s="323">
        <v>37</v>
      </c>
      <c r="K313" s="299">
        <v>2025</v>
      </c>
      <c r="L313" s="299"/>
      <c r="M313" s="299"/>
      <c r="N313" s="299">
        <f>N311</f>
        <v>0.5</v>
      </c>
    </row>
    <row r="314" spans="1:14" s="292" customFormat="1" ht="24.95" customHeight="1">
      <c r="A314" s="289" t="s">
        <v>1046</v>
      </c>
      <c r="B314" s="330" t="s">
        <v>216</v>
      </c>
      <c r="C314" s="299" t="s">
        <v>49</v>
      </c>
      <c r="D314" s="299" t="s">
        <v>104</v>
      </c>
      <c r="E314" s="321">
        <v>0.75</v>
      </c>
      <c r="F314" s="549">
        <f>N314*841.6</f>
        <v>420.8</v>
      </c>
      <c r="G314" s="317">
        <f t="shared" si="41"/>
        <v>420.8</v>
      </c>
      <c r="H314" s="318" t="s">
        <v>138</v>
      </c>
      <c r="I314" s="296" t="s">
        <v>207</v>
      </c>
      <c r="J314" s="323">
        <v>50</v>
      </c>
      <c r="K314" s="299">
        <v>2025</v>
      </c>
      <c r="L314" s="299"/>
      <c r="M314" s="299"/>
      <c r="N314" s="299">
        <f>N313</f>
        <v>0.5</v>
      </c>
    </row>
    <row r="315" spans="1:14" s="292" customFormat="1" ht="24.95" customHeight="1">
      <c r="A315" s="289" t="s">
        <v>1046</v>
      </c>
      <c r="B315" s="330" t="s">
        <v>216</v>
      </c>
      <c r="C315" s="299" t="s">
        <v>51</v>
      </c>
      <c r="D315" s="299" t="s">
        <v>105</v>
      </c>
      <c r="E315" s="321">
        <v>1</v>
      </c>
      <c r="F315" s="549">
        <f>N315*1020.7</f>
        <v>510.35</v>
      </c>
      <c r="G315" s="317">
        <f t="shared" si="41"/>
        <v>510.35</v>
      </c>
      <c r="H315" s="318" t="s">
        <v>138</v>
      </c>
      <c r="I315" s="296" t="s">
        <v>207</v>
      </c>
      <c r="J315" s="323">
        <v>56</v>
      </c>
      <c r="K315" s="299">
        <v>2025</v>
      </c>
      <c r="L315" s="299"/>
      <c r="M315" s="299"/>
      <c r="N315" s="299">
        <f t="shared" ref="N315:N328" si="42">N314</f>
        <v>0.5</v>
      </c>
    </row>
    <row r="316" spans="1:14" s="292" customFormat="1" ht="24.95" customHeight="1">
      <c r="A316" s="289" t="s">
        <v>1046</v>
      </c>
      <c r="B316" s="330" t="s">
        <v>216</v>
      </c>
      <c r="C316" s="299" t="s">
        <v>53</v>
      </c>
      <c r="D316" s="299" t="s">
        <v>106</v>
      </c>
      <c r="E316" s="321">
        <v>1.25</v>
      </c>
      <c r="F316" s="549">
        <f>N316*1501.7</f>
        <v>750.85</v>
      </c>
      <c r="G316" s="317">
        <f t="shared" si="41"/>
        <v>750.85</v>
      </c>
      <c r="H316" s="318" t="s">
        <v>138</v>
      </c>
      <c r="I316" s="296" t="s">
        <v>207</v>
      </c>
      <c r="J316" s="323">
        <v>62</v>
      </c>
      <c r="K316" s="299">
        <v>2025</v>
      </c>
      <c r="L316" s="299"/>
      <c r="M316" s="299"/>
      <c r="N316" s="299">
        <f t="shared" si="42"/>
        <v>0.5</v>
      </c>
    </row>
    <row r="317" spans="1:14" s="292" customFormat="1" ht="24.95" customHeight="1">
      <c r="A317" s="289" t="s">
        <v>1046</v>
      </c>
      <c r="B317" s="330" t="s">
        <v>216</v>
      </c>
      <c r="C317" s="299" t="s">
        <v>55</v>
      </c>
      <c r="D317" s="299" t="s">
        <v>107</v>
      </c>
      <c r="E317" s="321">
        <v>1.5</v>
      </c>
      <c r="F317" s="549">
        <f>N317*4586.5</f>
        <v>2293.25</v>
      </c>
      <c r="G317" s="317">
        <f t="shared" si="41"/>
        <v>2293.25</v>
      </c>
      <c r="H317" s="318" t="s">
        <v>138</v>
      </c>
      <c r="I317" s="296" t="s">
        <v>207</v>
      </c>
      <c r="J317" s="323">
        <v>81</v>
      </c>
      <c r="K317" s="299">
        <v>2025</v>
      </c>
      <c r="L317" s="299"/>
      <c r="M317" s="299"/>
      <c r="N317" s="299">
        <f t="shared" si="42"/>
        <v>0.5</v>
      </c>
    </row>
    <row r="318" spans="1:14" s="292" customFormat="1" ht="24.95" customHeight="1">
      <c r="A318" s="289" t="s">
        <v>1046</v>
      </c>
      <c r="B318" s="330" t="s">
        <v>216</v>
      </c>
      <c r="C318" s="299" t="s">
        <v>57</v>
      </c>
      <c r="D318" s="299" t="s">
        <v>31</v>
      </c>
      <c r="E318" s="321">
        <v>2</v>
      </c>
      <c r="F318" s="549">
        <f>N318*5297.3</f>
        <v>2648.65</v>
      </c>
      <c r="G318" s="317">
        <f t="shared" si="41"/>
        <v>2648.65</v>
      </c>
      <c r="H318" s="318" t="s">
        <v>138</v>
      </c>
      <c r="I318" s="296" t="s">
        <v>207</v>
      </c>
      <c r="J318" s="323">
        <v>100</v>
      </c>
      <c r="K318" s="299">
        <v>2025</v>
      </c>
      <c r="L318" s="299"/>
      <c r="M318" s="299"/>
      <c r="N318" s="299">
        <f t="shared" si="42"/>
        <v>0.5</v>
      </c>
    </row>
    <row r="319" spans="1:14" s="292" customFormat="1" ht="24.95" customHeight="1">
      <c r="A319" s="289" t="s">
        <v>1046</v>
      </c>
      <c r="B319" s="330" t="s">
        <v>216</v>
      </c>
      <c r="C319" s="299" t="s">
        <v>59</v>
      </c>
      <c r="D319" s="299" t="s">
        <v>1053</v>
      </c>
      <c r="E319" s="321">
        <v>2.5</v>
      </c>
      <c r="F319" s="549">
        <f>N319*11189.7</f>
        <v>5594.85</v>
      </c>
      <c r="G319" s="317">
        <f t="shared" si="41"/>
        <v>5678.85</v>
      </c>
      <c r="H319" s="318" t="s">
        <v>138</v>
      </c>
      <c r="I319" s="296" t="s">
        <v>207</v>
      </c>
      <c r="J319" s="323">
        <v>125</v>
      </c>
      <c r="K319" s="299">
        <v>2025</v>
      </c>
      <c r="L319" s="299"/>
      <c r="M319" s="299">
        <v>84</v>
      </c>
      <c r="N319" s="299">
        <f t="shared" si="42"/>
        <v>0.5</v>
      </c>
    </row>
    <row r="320" spans="1:14" s="292" customFormat="1" ht="24.95" customHeight="1">
      <c r="A320" s="289" t="s">
        <v>1046</v>
      </c>
      <c r="B320" s="330" t="s">
        <v>216</v>
      </c>
      <c r="C320" s="299" t="s">
        <v>60</v>
      </c>
      <c r="D320" s="299" t="s">
        <v>1054</v>
      </c>
      <c r="E320" s="321">
        <v>3</v>
      </c>
      <c r="F320" s="549">
        <f>N320*12571.2</f>
        <v>6285.6</v>
      </c>
      <c r="G320" s="317">
        <f t="shared" si="41"/>
        <v>6391.6</v>
      </c>
      <c r="H320" s="318" t="s">
        <v>138</v>
      </c>
      <c r="I320" s="296" t="s">
        <v>207</v>
      </c>
      <c r="J320" s="323">
        <v>150</v>
      </c>
      <c r="K320" s="299">
        <v>2025</v>
      </c>
      <c r="L320" s="299"/>
      <c r="M320" s="299">
        <v>106</v>
      </c>
      <c r="N320" s="299">
        <f t="shared" si="42"/>
        <v>0.5</v>
      </c>
    </row>
    <row r="321" spans="1:14" s="292" customFormat="1" ht="24.95" customHeight="1">
      <c r="A321" s="289" t="s">
        <v>1046</v>
      </c>
      <c r="B321" s="330" t="s">
        <v>216</v>
      </c>
      <c r="C321" s="299" t="s">
        <v>208</v>
      </c>
      <c r="D321" s="319" t="s">
        <v>210</v>
      </c>
      <c r="E321" s="321">
        <v>4</v>
      </c>
      <c r="F321" s="549">
        <f>N321*19575.1</f>
        <v>9787.5499999999993</v>
      </c>
      <c r="G321" s="317">
        <f t="shared" si="41"/>
        <v>9913.5499999999993</v>
      </c>
      <c r="H321" s="318" t="s">
        <v>138</v>
      </c>
      <c r="I321" s="296" t="s">
        <v>207</v>
      </c>
      <c r="J321" s="323">
        <v>175</v>
      </c>
      <c r="K321" s="299">
        <v>2025</v>
      </c>
      <c r="L321" s="299"/>
      <c r="M321" s="299">
        <v>126</v>
      </c>
      <c r="N321" s="299">
        <f t="shared" si="42"/>
        <v>0.5</v>
      </c>
    </row>
    <row r="322" spans="1:14" s="292" customFormat="1" ht="24.95" customHeight="1">
      <c r="A322" s="289" t="s">
        <v>1046</v>
      </c>
      <c r="B322" s="330" t="s">
        <v>216</v>
      </c>
      <c r="C322" s="299" t="s">
        <v>209</v>
      </c>
      <c r="D322" s="319" t="s">
        <v>210</v>
      </c>
      <c r="E322" s="321">
        <v>4</v>
      </c>
      <c r="F322" s="549">
        <f>N322*21594.6</f>
        <v>10797.3</v>
      </c>
      <c r="G322" s="317">
        <f t="shared" si="41"/>
        <v>10923.3</v>
      </c>
      <c r="H322" s="318" t="s">
        <v>138</v>
      </c>
      <c r="I322" s="296" t="s">
        <v>207</v>
      </c>
      <c r="J322" s="323">
        <v>175</v>
      </c>
      <c r="K322" s="299">
        <v>2025</v>
      </c>
      <c r="L322" s="299"/>
      <c r="M322" s="299">
        <v>126</v>
      </c>
      <c r="N322" s="299">
        <f t="shared" si="42"/>
        <v>0.5</v>
      </c>
    </row>
    <row r="323" spans="1:14" s="292" customFormat="1" ht="24.95" customHeight="1">
      <c r="A323" s="289" t="s">
        <v>1046</v>
      </c>
      <c r="B323" s="330" t="s">
        <v>216</v>
      </c>
      <c r="C323" s="299" t="s">
        <v>63</v>
      </c>
      <c r="D323" s="319" t="s">
        <v>168</v>
      </c>
      <c r="E323" s="321">
        <v>5</v>
      </c>
      <c r="F323" s="549">
        <f>N323*28741.1</f>
        <v>14370.55</v>
      </c>
      <c r="G323" s="317">
        <f t="shared" si="41"/>
        <v>14574.55</v>
      </c>
      <c r="H323" s="318" t="s">
        <v>138</v>
      </c>
      <c r="I323" s="296" t="s">
        <v>207</v>
      </c>
      <c r="J323" s="323">
        <v>225</v>
      </c>
      <c r="K323" s="299">
        <v>2025</v>
      </c>
      <c r="L323" s="299"/>
      <c r="M323" s="299">
        <v>204</v>
      </c>
      <c r="N323" s="299">
        <f t="shared" si="42"/>
        <v>0.5</v>
      </c>
    </row>
    <row r="324" spans="1:14" s="292" customFormat="1" ht="24.95" customHeight="1">
      <c r="A324" s="289" t="s">
        <v>1046</v>
      </c>
      <c r="B324" s="330" t="s">
        <v>216</v>
      </c>
      <c r="C324" s="299" t="s">
        <v>211</v>
      </c>
      <c r="D324" s="319" t="s">
        <v>168</v>
      </c>
      <c r="E324" s="321">
        <v>5</v>
      </c>
      <c r="F324" s="549">
        <f>N324*30760.7</f>
        <v>15380.35</v>
      </c>
      <c r="G324" s="317">
        <f t="shared" si="41"/>
        <v>15584.35</v>
      </c>
      <c r="H324" s="318" t="s">
        <v>138</v>
      </c>
      <c r="I324" s="296" t="s">
        <v>207</v>
      </c>
      <c r="J324" s="323">
        <v>225</v>
      </c>
      <c r="K324" s="299">
        <v>2025</v>
      </c>
      <c r="L324" s="299"/>
      <c r="M324" s="299">
        <v>204</v>
      </c>
      <c r="N324" s="299">
        <f t="shared" si="42"/>
        <v>0.5</v>
      </c>
    </row>
    <row r="325" spans="1:14" s="292" customFormat="1" ht="24.95" customHeight="1">
      <c r="A325" s="289" t="s">
        <v>1046</v>
      </c>
      <c r="B325" s="330" t="s">
        <v>216</v>
      </c>
      <c r="C325" s="299" t="s">
        <v>66</v>
      </c>
      <c r="D325" s="319" t="s">
        <v>169</v>
      </c>
      <c r="E325" s="321">
        <v>6</v>
      </c>
      <c r="F325" s="549">
        <f>N325*45364.2</f>
        <v>22682.1</v>
      </c>
      <c r="G325" s="317">
        <f t="shared" si="41"/>
        <v>22908.1</v>
      </c>
      <c r="H325" s="318" t="s">
        <v>138</v>
      </c>
      <c r="I325" s="296" t="s">
        <v>207</v>
      </c>
      <c r="J325" s="323">
        <v>262</v>
      </c>
      <c r="K325" s="299">
        <v>2025</v>
      </c>
      <c r="L325" s="299"/>
      <c r="M325" s="299">
        <v>226</v>
      </c>
      <c r="N325" s="299">
        <f t="shared" si="42"/>
        <v>0.5</v>
      </c>
    </row>
    <row r="326" spans="1:14" s="292" customFormat="1" ht="24.95" customHeight="1">
      <c r="A326" s="289" t="s">
        <v>1046</v>
      </c>
      <c r="B326" s="330" t="s">
        <v>216</v>
      </c>
      <c r="C326" s="299" t="s">
        <v>212</v>
      </c>
      <c r="D326" s="319" t="s">
        <v>169</v>
      </c>
      <c r="E326" s="321">
        <v>6</v>
      </c>
      <c r="F326" s="549">
        <f>N326*46451.8</f>
        <v>23225.9</v>
      </c>
      <c r="G326" s="317">
        <f t="shared" si="41"/>
        <v>23451.9</v>
      </c>
      <c r="H326" s="318" t="s">
        <v>138</v>
      </c>
      <c r="I326" s="296" t="s">
        <v>207</v>
      </c>
      <c r="J326" s="323">
        <v>262</v>
      </c>
      <c r="K326" s="299">
        <v>2025</v>
      </c>
      <c r="L326" s="299"/>
      <c r="M326" s="299">
        <v>226</v>
      </c>
      <c r="N326" s="299">
        <f t="shared" si="42"/>
        <v>0.5</v>
      </c>
    </row>
    <row r="327" spans="1:14" s="292" customFormat="1" ht="24.95" customHeight="1">
      <c r="A327" s="289" t="s">
        <v>1046</v>
      </c>
      <c r="B327" s="330" t="s">
        <v>216</v>
      </c>
      <c r="C327" s="299" t="s">
        <v>213</v>
      </c>
      <c r="D327" s="319" t="s">
        <v>170</v>
      </c>
      <c r="E327" s="321">
        <v>8</v>
      </c>
      <c r="F327" s="549">
        <f>N327*60482.6</f>
        <v>30241.3</v>
      </c>
      <c r="G327" s="317">
        <f t="shared" si="41"/>
        <v>30581.3</v>
      </c>
      <c r="H327" s="318" t="s">
        <v>138</v>
      </c>
      <c r="I327" s="296" t="s">
        <v>207</v>
      </c>
      <c r="J327" s="323">
        <v>337</v>
      </c>
      <c r="K327" s="299">
        <v>2025</v>
      </c>
      <c r="L327" s="299"/>
      <c r="M327" s="299">
        <v>340</v>
      </c>
      <c r="N327" s="299">
        <f t="shared" si="42"/>
        <v>0.5</v>
      </c>
    </row>
    <row r="328" spans="1:14" s="292" customFormat="1" ht="24.95" customHeight="1">
      <c r="A328" s="289" t="s">
        <v>1046</v>
      </c>
      <c r="B328" s="330" t="s">
        <v>216</v>
      </c>
      <c r="C328" s="299" t="s">
        <v>214</v>
      </c>
      <c r="D328" s="319" t="s">
        <v>170</v>
      </c>
      <c r="E328" s="321">
        <v>8</v>
      </c>
      <c r="F328" s="549">
        <f>N328*59640.8</f>
        <v>29820.400000000001</v>
      </c>
      <c r="G328" s="317">
        <f t="shared" si="41"/>
        <v>30160.400000000001</v>
      </c>
      <c r="H328" s="318" t="s">
        <v>138</v>
      </c>
      <c r="I328" s="296" t="s">
        <v>207</v>
      </c>
      <c r="J328" s="323">
        <v>337</v>
      </c>
      <c r="K328" s="299">
        <v>2025</v>
      </c>
      <c r="L328" s="299"/>
      <c r="M328" s="299">
        <v>340</v>
      </c>
      <c r="N328" s="299">
        <f t="shared" si="42"/>
        <v>0.5</v>
      </c>
    </row>
    <row r="329" spans="1:14" s="292" customFormat="1" ht="24.95" customHeight="1">
      <c r="A329" s="331"/>
      <c r="B329" s="328"/>
      <c r="C329" s="302"/>
      <c r="D329" s="302"/>
      <c r="E329" s="329"/>
      <c r="F329" s="546"/>
      <c r="G329" s="302"/>
      <c r="H329" s="302"/>
      <c r="I329" s="302"/>
      <c r="J329" s="314"/>
      <c r="K329" s="302"/>
      <c r="L329" s="302"/>
      <c r="M329" s="302"/>
      <c r="N329" s="290"/>
    </row>
    <row r="330" spans="1:14" s="292" customFormat="1" ht="24.95" customHeight="1">
      <c r="A330" s="289" t="s">
        <v>1046</v>
      </c>
      <c r="B330" s="320" t="s">
        <v>1067</v>
      </c>
      <c r="C330" s="299" t="s">
        <v>47</v>
      </c>
      <c r="D330" s="299" t="s">
        <v>99</v>
      </c>
      <c r="E330" s="321">
        <v>0.5</v>
      </c>
      <c r="F330" s="322">
        <f>412.25*N330</f>
        <v>206.125</v>
      </c>
      <c r="G330" s="322">
        <f t="shared" ref="G330:G335" si="43">F330+M330</f>
        <v>206.125</v>
      </c>
      <c r="H330" s="318" t="s">
        <v>1068</v>
      </c>
      <c r="I330" s="296" t="s">
        <v>219</v>
      </c>
      <c r="J330" s="323">
        <v>37</v>
      </c>
      <c r="K330" s="299">
        <v>2025</v>
      </c>
      <c r="L330" s="299"/>
      <c r="M330" s="299"/>
      <c r="N330" s="299">
        <v>0.5</v>
      </c>
    </row>
    <row r="331" spans="1:14" s="292" customFormat="1" ht="24.95" customHeight="1">
      <c r="A331" s="289" t="s">
        <v>1046</v>
      </c>
      <c r="B331" s="320" t="s">
        <v>1067</v>
      </c>
      <c r="C331" s="299" t="s">
        <v>49</v>
      </c>
      <c r="D331" s="299" t="s">
        <v>104</v>
      </c>
      <c r="E331" s="321">
        <v>0.75</v>
      </c>
      <c r="F331" s="322">
        <f>473.81*N331</f>
        <v>236.905</v>
      </c>
      <c r="G331" s="322">
        <f t="shared" si="43"/>
        <v>236.905</v>
      </c>
      <c r="H331" s="318" t="s">
        <v>1068</v>
      </c>
      <c r="I331" s="296" t="s">
        <v>219</v>
      </c>
      <c r="J331" s="323">
        <v>50</v>
      </c>
      <c r="K331" s="299">
        <v>2025</v>
      </c>
      <c r="L331" s="299"/>
      <c r="M331" s="299"/>
      <c r="N331" s="299">
        <f>N330</f>
        <v>0.5</v>
      </c>
    </row>
    <row r="332" spans="1:14" s="292" customFormat="1" ht="24.95" customHeight="1">
      <c r="A332" s="289" t="s">
        <v>1046</v>
      </c>
      <c r="B332" s="320" t="s">
        <v>1067</v>
      </c>
      <c r="C332" s="299" t="s">
        <v>51</v>
      </c>
      <c r="D332" s="299" t="s">
        <v>105</v>
      </c>
      <c r="E332" s="321">
        <v>1</v>
      </c>
      <c r="F332" s="322">
        <f>663.36*N332</f>
        <v>331.68</v>
      </c>
      <c r="G332" s="322">
        <f t="shared" si="43"/>
        <v>331.68</v>
      </c>
      <c r="H332" s="318" t="s">
        <v>1068</v>
      </c>
      <c r="I332" s="296" t="s">
        <v>219</v>
      </c>
      <c r="J332" s="323">
        <v>56</v>
      </c>
      <c r="K332" s="299">
        <v>2025</v>
      </c>
      <c r="L332" s="299"/>
      <c r="M332" s="299"/>
      <c r="N332" s="299">
        <f>N331</f>
        <v>0.5</v>
      </c>
    </row>
    <row r="333" spans="1:14" s="292" customFormat="1" ht="24.95" customHeight="1">
      <c r="A333" s="289" t="s">
        <v>1046</v>
      </c>
      <c r="B333" s="320" t="s">
        <v>1067</v>
      </c>
      <c r="C333" s="299" t="s">
        <v>53</v>
      </c>
      <c r="D333" s="299" t="s">
        <v>106</v>
      </c>
      <c r="E333" s="321">
        <v>1.25</v>
      </c>
      <c r="F333" s="322">
        <f>1227.27*N333</f>
        <v>613.63499999999999</v>
      </c>
      <c r="G333" s="322">
        <f t="shared" si="43"/>
        <v>613.63499999999999</v>
      </c>
      <c r="H333" s="318" t="s">
        <v>1068</v>
      </c>
      <c r="I333" s="296" t="s">
        <v>219</v>
      </c>
      <c r="J333" s="323">
        <v>62</v>
      </c>
      <c r="K333" s="299">
        <v>2025</v>
      </c>
      <c r="L333" s="299"/>
      <c r="M333" s="299"/>
      <c r="N333" s="299">
        <f>N332</f>
        <v>0.5</v>
      </c>
    </row>
    <row r="334" spans="1:14" s="292" customFormat="1" ht="24.95" customHeight="1">
      <c r="A334" s="289" t="s">
        <v>1046</v>
      </c>
      <c r="B334" s="320" t="s">
        <v>1067</v>
      </c>
      <c r="C334" s="299" t="s">
        <v>55</v>
      </c>
      <c r="D334" s="299" t="s">
        <v>107</v>
      </c>
      <c r="E334" s="321">
        <v>1.5</v>
      </c>
      <c r="F334" s="322">
        <f>1742.48*N334</f>
        <v>871.24</v>
      </c>
      <c r="G334" s="322">
        <f t="shared" si="43"/>
        <v>871.24</v>
      </c>
      <c r="H334" s="318" t="s">
        <v>1068</v>
      </c>
      <c r="I334" s="296" t="s">
        <v>219</v>
      </c>
      <c r="J334" s="323">
        <v>81</v>
      </c>
      <c r="K334" s="299">
        <v>2025</v>
      </c>
      <c r="L334" s="299"/>
      <c r="M334" s="299"/>
      <c r="N334" s="299">
        <f>N333</f>
        <v>0.5</v>
      </c>
    </row>
    <row r="335" spans="1:14" s="292" customFormat="1" ht="24.95" customHeight="1">
      <c r="A335" s="289" t="s">
        <v>1046</v>
      </c>
      <c r="B335" s="320" t="s">
        <v>1067</v>
      </c>
      <c r="C335" s="299" t="s">
        <v>57</v>
      </c>
      <c r="D335" s="299" t="s">
        <v>31</v>
      </c>
      <c r="E335" s="321">
        <v>2</v>
      </c>
      <c r="F335" s="322">
        <f>2614.29*N335</f>
        <v>1307.145</v>
      </c>
      <c r="G335" s="322">
        <f t="shared" si="43"/>
        <v>1307.145</v>
      </c>
      <c r="H335" s="318" t="s">
        <v>1068</v>
      </c>
      <c r="I335" s="296" t="s">
        <v>219</v>
      </c>
      <c r="J335" s="323">
        <v>100</v>
      </c>
      <c r="K335" s="299">
        <v>2025</v>
      </c>
      <c r="L335" s="299"/>
      <c r="M335" s="299"/>
      <c r="N335" s="299">
        <f>N334</f>
        <v>0.5</v>
      </c>
    </row>
    <row r="336" spans="1:14" s="292" customFormat="1" ht="24.95" customHeight="1">
      <c r="A336" s="331"/>
      <c r="B336" s="328"/>
      <c r="C336" s="302"/>
      <c r="D336" s="302"/>
      <c r="E336" s="329"/>
      <c r="F336" s="550"/>
      <c r="G336" s="332"/>
      <c r="H336" s="302"/>
      <c r="I336" s="302"/>
      <c r="J336" s="314"/>
      <c r="K336" s="302"/>
      <c r="L336" s="302"/>
      <c r="M336" s="302"/>
      <c r="N336" s="290"/>
    </row>
    <row r="337" spans="1:14" s="292" customFormat="1" ht="24.95" customHeight="1">
      <c r="A337" s="289" t="s">
        <v>1046</v>
      </c>
      <c r="B337" s="320" t="s">
        <v>1067</v>
      </c>
      <c r="C337" s="299" t="s">
        <v>47</v>
      </c>
      <c r="D337" s="299" t="s">
        <v>99</v>
      </c>
      <c r="E337" s="321">
        <v>0.5</v>
      </c>
      <c r="F337" s="551">
        <f>911.95*N337</f>
        <v>455.97500000000002</v>
      </c>
      <c r="G337" s="322">
        <f>F337+M337</f>
        <v>455.97500000000002</v>
      </c>
      <c r="H337" s="318" t="s">
        <v>1068</v>
      </c>
      <c r="I337" s="296" t="s">
        <v>220</v>
      </c>
      <c r="J337" s="323">
        <v>37</v>
      </c>
      <c r="K337" s="299">
        <v>2025</v>
      </c>
      <c r="L337" s="299"/>
      <c r="M337" s="299"/>
      <c r="N337" s="299">
        <f>N335</f>
        <v>0.5</v>
      </c>
    </row>
    <row r="338" spans="1:14" s="292" customFormat="1" ht="24.95" customHeight="1">
      <c r="A338" s="289" t="s">
        <v>1046</v>
      </c>
      <c r="B338" s="320" t="s">
        <v>1067</v>
      </c>
      <c r="C338" s="299" t="s">
        <v>49</v>
      </c>
      <c r="D338" s="299" t="s">
        <v>104</v>
      </c>
      <c r="E338" s="321">
        <v>0.75</v>
      </c>
      <c r="F338" s="551">
        <f>1173.17*N338</f>
        <v>586.58500000000004</v>
      </c>
      <c r="G338" s="322">
        <f t="shared" ref="G338:G345" si="44">F338+M338</f>
        <v>586.58500000000004</v>
      </c>
      <c r="H338" s="318" t="s">
        <v>1068</v>
      </c>
      <c r="I338" s="296" t="s">
        <v>220</v>
      </c>
      <c r="J338" s="323">
        <v>50</v>
      </c>
      <c r="K338" s="299">
        <v>2025</v>
      </c>
      <c r="L338" s="299"/>
      <c r="M338" s="299"/>
      <c r="N338" s="299">
        <f>N337</f>
        <v>0.5</v>
      </c>
    </row>
    <row r="339" spans="1:14" s="292" customFormat="1" ht="24.95" customHeight="1">
      <c r="A339" s="289" t="s">
        <v>1046</v>
      </c>
      <c r="B339" s="320" t="s">
        <v>1067</v>
      </c>
      <c r="C339" s="299" t="s">
        <v>51</v>
      </c>
      <c r="D339" s="299" t="s">
        <v>105</v>
      </c>
      <c r="E339" s="321">
        <v>1</v>
      </c>
      <c r="F339" s="551">
        <f>1634.36*N339</f>
        <v>817.18</v>
      </c>
      <c r="G339" s="322">
        <f t="shared" si="44"/>
        <v>817.18</v>
      </c>
      <c r="H339" s="318" t="s">
        <v>1068</v>
      </c>
      <c r="I339" s="296" t="s">
        <v>220</v>
      </c>
      <c r="J339" s="323">
        <v>56</v>
      </c>
      <c r="K339" s="299">
        <v>2025</v>
      </c>
      <c r="L339" s="299"/>
      <c r="M339" s="299"/>
      <c r="N339" s="299">
        <f t="shared" ref="N339:N345" si="45">N338</f>
        <v>0.5</v>
      </c>
    </row>
    <row r="340" spans="1:14" s="292" customFormat="1" ht="24.95" customHeight="1">
      <c r="A340" s="289" t="s">
        <v>1046</v>
      </c>
      <c r="B340" s="320" t="s">
        <v>1067</v>
      </c>
      <c r="C340" s="299" t="s">
        <v>53</v>
      </c>
      <c r="D340" s="299" t="s">
        <v>106</v>
      </c>
      <c r="E340" s="321">
        <v>1.25</v>
      </c>
      <c r="F340" s="551">
        <f>3013.56*N340</f>
        <v>1506.78</v>
      </c>
      <c r="G340" s="322">
        <f t="shared" si="44"/>
        <v>1506.78</v>
      </c>
      <c r="H340" s="318" t="s">
        <v>1068</v>
      </c>
      <c r="I340" s="296" t="s">
        <v>220</v>
      </c>
      <c r="J340" s="323">
        <v>62</v>
      </c>
      <c r="K340" s="299">
        <v>2025</v>
      </c>
      <c r="L340" s="299"/>
      <c r="M340" s="299"/>
      <c r="N340" s="299">
        <f t="shared" si="45"/>
        <v>0.5</v>
      </c>
    </row>
    <row r="341" spans="1:14" s="292" customFormat="1" ht="24.95" customHeight="1">
      <c r="A341" s="289" t="s">
        <v>1046</v>
      </c>
      <c r="B341" s="320" t="s">
        <v>1067</v>
      </c>
      <c r="C341" s="299" t="s">
        <v>55</v>
      </c>
      <c r="D341" s="299" t="s">
        <v>107</v>
      </c>
      <c r="E341" s="321">
        <v>1.5</v>
      </c>
      <c r="F341" s="551">
        <f>4246.85*N341</f>
        <v>2123.4250000000002</v>
      </c>
      <c r="G341" s="322">
        <f t="shared" si="44"/>
        <v>2123.4250000000002</v>
      </c>
      <c r="H341" s="318" t="s">
        <v>1068</v>
      </c>
      <c r="I341" s="296" t="s">
        <v>220</v>
      </c>
      <c r="J341" s="323">
        <v>81</v>
      </c>
      <c r="K341" s="299">
        <v>2025</v>
      </c>
      <c r="L341" s="299"/>
      <c r="M341" s="299"/>
      <c r="N341" s="299">
        <f t="shared" si="45"/>
        <v>0.5</v>
      </c>
    </row>
    <row r="342" spans="1:14" s="292" customFormat="1" ht="24.95" customHeight="1">
      <c r="A342" s="289" t="s">
        <v>1046</v>
      </c>
      <c r="B342" s="320" t="s">
        <v>1067</v>
      </c>
      <c r="C342" s="299" t="s">
        <v>57</v>
      </c>
      <c r="D342" s="299" t="s">
        <v>31</v>
      </c>
      <c r="E342" s="321">
        <v>2</v>
      </c>
      <c r="F342" s="551">
        <f>5905.66*N342</f>
        <v>2952.83</v>
      </c>
      <c r="G342" s="322">
        <f t="shared" si="44"/>
        <v>2952.83</v>
      </c>
      <c r="H342" s="318" t="s">
        <v>1068</v>
      </c>
      <c r="I342" s="296" t="s">
        <v>220</v>
      </c>
      <c r="J342" s="323">
        <v>100</v>
      </c>
      <c r="K342" s="299">
        <v>2025</v>
      </c>
      <c r="L342" s="299"/>
      <c r="M342" s="299"/>
      <c r="N342" s="299">
        <f t="shared" si="45"/>
        <v>0.5</v>
      </c>
    </row>
    <row r="343" spans="1:14" s="292" customFormat="1" ht="24.95" customHeight="1">
      <c r="A343" s="289" t="s">
        <v>1046</v>
      </c>
      <c r="B343" s="320" t="s">
        <v>1067</v>
      </c>
      <c r="C343" s="299" t="s">
        <v>59</v>
      </c>
      <c r="D343" s="299" t="s">
        <v>1053</v>
      </c>
      <c r="E343" s="321">
        <v>2.5</v>
      </c>
      <c r="F343" s="551">
        <f>9796.19*N343</f>
        <v>4898.0950000000003</v>
      </c>
      <c r="G343" s="322">
        <f>F343+M343</f>
        <v>4982.0950000000003</v>
      </c>
      <c r="H343" s="318" t="s">
        <v>1068</v>
      </c>
      <c r="I343" s="296" t="s">
        <v>220</v>
      </c>
      <c r="J343" s="323">
        <v>125</v>
      </c>
      <c r="K343" s="299">
        <v>2025</v>
      </c>
      <c r="L343" s="299"/>
      <c r="M343" s="299">
        <v>84</v>
      </c>
      <c r="N343" s="299">
        <f t="shared" si="45"/>
        <v>0.5</v>
      </c>
    </row>
    <row r="344" spans="1:14" s="292" customFormat="1" ht="24.95" customHeight="1">
      <c r="A344" s="289" t="s">
        <v>1046</v>
      </c>
      <c r="B344" s="320" t="s">
        <v>1067</v>
      </c>
      <c r="C344" s="299" t="s">
        <v>60</v>
      </c>
      <c r="D344" s="299" t="s">
        <v>1054</v>
      </c>
      <c r="E344" s="321">
        <v>3</v>
      </c>
      <c r="F344" s="551">
        <f>12875.93*N344</f>
        <v>6437.9650000000001</v>
      </c>
      <c r="G344" s="322">
        <f t="shared" si="44"/>
        <v>6543.9650000000001</v>
      </c>
      <c r="H344" s="318" t="s">
        <v>1068</v>
      </c>
      <c r="I344" s="296" t="s">
        <v>220</v>
      </c>
      <c r="J344" s="323">
        <v>150</v>
      </c>
      <c r="K344" s="299">
        <v>2025</v>
      </c>
      <c r="L344" s="299"/>
      <c r="M344" s="299">
        <v>106</v>
      </c>
      <c r="N344" s="299">
        <f t="shared" si="45"/>
        <v>0.5</v>
      </c>
    </row>
    <row r="345" spans="1:14" s="292" customFormat="1" ht="24.95" customHeight="1">
      <c r="A345" s="289" t="s">
        <v>1046</v>
      </c>
      <c r="B345" s="320" t="s">
        <v>1067</v>
      </c>
      <c r="C345" s="299" t="s">
        <v>208</v>
      </c>
      <c r="D345" s="319" t="s">
        <v>210</v>
      </c>
      <c r="E345" s="321">
        <v>4</v>
      </c>
      <c r="F345" s="551">
        <f>23403.17*N345</f>
        <v>11701.584999999999</v>
      </c>
      <c r="G345" s="322">
        <f t="shared" si="44"/>
        <v>11827.584999999999</v>
      </c>
      <c r="H345" s="318" t="s">
        <v>1068</v>
      </c>
      <c r="I345" s="296" t="s">
        <v>220</v>
      </c>
      <c r="J345" s="323">
        <v>175</v>
      </c>
      <c r="K345" s="299">
        <v>2025</v>
      </c>
      <c r="L345" s="299"/>
      <c r="M345" s="299">
        <v>126</v>
      </c>
      <c r="N345" s="299">
        <f t="shared" si="45"/>
        <v>0.5</v>
      </c>
    </row>
    <row r="346" spans="1:14" s="292" customFormat="1" ht="24.95" customHeight="1">
      <c r="A346" s="331"/>
      <c r="B346" s="328"/>
      <c r="C346" s="302"/>
      <c r="D346" s="302"/>
      <c r="E346" s="329"/>
      <c r="F346" s="546"/>
      <c r="G346" s="302"/>
      <c r="H346" s="302"/>
      <c r="I346" s="302"/>
      <c r="J346" s="314"/>
      <c r="K346" s="302"/>
      <c r="L346" s="302"/>
      <c r="M346" s="302"/>
      <c r="N346" s="290"/>
    </row>
    <row r="347" spans="1:14">
      <c r="A347" s="501" t="s">
        <v>1069</v>
      </c>
      <c r="B347" s="552" t="s">
        <v>567</v>
      </c>
      <c r="C347" s="552"/>
      <c r="D347" s="552"/>
      <c r="E347" s="552"/>
      <c r="F347" s="553">
        <f>77.3*0.5</f>
        <v>38.65</v>
      </c>
      <c r="G347" s="552"/>
      <c r="H347" s="554" t="s">
        <v>568</v>
      </c>
      <c r="I347" s="554" t="s">
        <v>1070</v>
      </c>
      <c r="J347" s="555">
        <v>20</v>
      </c>
      <c r="K347" s="552"/>
      <c r="L347" s="552"/>
      <c r="M347" s="552"/>
      <c r="N347" s="555"/>
    </row>
    <row r="348" spans="1:14" ht="23.25">
      <c r="A348" s="501" t="s">
        <v>1069</v>
      </c>
      <c r="B348" s="552" t="s">
        <v>567</v>
      </c>
      <c r="C348" s="552"/>
      <c r="D348" s="552"/>
      <c r="E348" s="552"/>
      <c r="F348" s="553">
        <f>98.9*0.5</f>
        <v>49.45</v>
      </c>
      <c r="G348" s="552"/>
      <c r="H348" s="554" t="s">
        <v>568</v>
      </c>
      <c r="I348" s="556" t="s">
        <v>1071</v>
      </c>
      <c r="J348" s="555">
        <f>J347</f>
        <v>20</v>
      </c>
      <c r="K348" s="552"/>
      <c r="L348" s="552"/>
      <c r="M348" s="552"/>
      <c r="N348" s="555"/>
    </row>
    <row r="349" spans="1:14">
      <c r="A349" s="501" t="s">
        <v>1069</v>
      </c>
      <c r="B349" s="552" t="s">
        <v>567</v>
      </c>
      <c r="C349" s="552"/>
      <c r="D349" s="552"/>
      <c r="E349" s="552"/>
      <c r="F349" s="553">
        <f>75.9*0.5</f>
        <v>37.950000000000003</v>
      </c>
      <c r="G349" s="552"/>
      <c r="H349" s="554" t="s">
        <v>568</v>
      </c>
      <c r="I349" s="554" t="s">
        <v>1072</v>
      </c>
      <c r="J349" s="555">
        <f>J348</f>
        <v>20</v>
      </c>
      <c r="K349" s="552"/>
      <c r="L349" s="552"/>
      <c r="M349" s="552"/>
      <c r="N349" s="555"/>
    </row>
    <row r="350" spans="1:14">
      <c r="A350" s="501" t="s">
        <v>1069</v>
      </c>
      <c r="B350" s="552" t="s">
        <v>531</v>
      </c>
      <c r="C350" s="552"/>
      <c r="D350" s="552"/>
      <c r="E350" s="552"/>
      <c r="F350" s="557"/>
      <c r="G350" s="552"/>
      <c r="H350" s="554" t="s">
        <v>568</v>
      </c>
      <c r="I350" s="552"/>
      <c r="J350" s="555">
        <v>15</v>
      </c>
      <c r="K350" s="552"/>
      <c r="L350" s="552"/>
      <c r="M350" s="552"/>
      <c r="N350" s="555"/>
    </row>
    <row r="351" spans="1:14">
      <c r="A351" s="500"/>
      <c r="B351" s="558"/>
      <c r="C351" s="558"/>
      <c r="D351" s="558"/>
      <c r="E351" s="558"/>
      <c r="F351" s="559"/>
      <c r="G351" s="558"/>
      <c r="H351" s="558"/>
      <c r="I351" s="558"/>
      <c r="J351" s="558"/>
      <c r="K351" s="558"/>
      <c r="L351" s="558"/>
      <c r="M351" s="558"/>
      <c r="N351" s="558">
        <v>0.5</v>
      </c>
    </row>
    <row r="352" spans="1:14" ht="23.25">
      <c r="A352" s="503" t="s">
        <v>1073</v>
      </c>
      <c r="B352" s="552" t="s">
        <v>162</v>
      </c>
      <c r="C352" s="299" t="s">
        <v>47</v>
      </c>
      <c r="D352" s="299" t="s">
        <v>99</v>
      </c>
      <c r="E352" s="321">
        <v>0.5</v>
      </c>
      <c r="F352" s="560">
        <f>1030.3*N351</f>
        <v>515.15</v>
      </c>
      <c r="G352" s="561">
        <f>F352+M352</f>
        <v>515.15</v>
      </c>
      <c r="H352" s="554" t="s">
        <v>138</v>
      </c>
      <c r="I352" s="562" t="s">
        <v>163</v>
      </c>
      <c r="J352" s="562"/>
      <c r="K352" s="562"/>
      <c r="L352" s="562">
        <f>1727.7*N351</f>
        <v>863.85</v>
      </c>
      <c r="M352" s="562"/>
      <c r="N352" s="562"/>
    </row>
    <row r="353" spans="1:14" ht="23.25">
      <c r="A353" s="503" t="s">
        <v>1073</v>
      </c>
      <c r="B353" s="552" t="s">
        <v>162</v>
      </c>
      <c r="C353" s="299" t="s">
        <v>49</v>
      </c>
      <c r="D353" s="299" t="s">
        <v>104</v>
      </c>
      <c r="E353" s="321">
        <v>0.75</v>
      </c>
      <c r="F353" s="560">
        <f>1053.2*N351</f>
        <v>526.6</v>
      </c>
      <c r="G353" s="561">
        <f t="shared" ref="G353:G365" si="46">F353+M353</f>
        <v>526.6</v>
      </c>
      <c r="H353" s="554" t="s">
        <v>138</v>
      </c>
      <c r="I353" s="562" t="s">
        <v>163</v>
      </c>
      <c r="J353" s="562"/>
      <c r="K353" s="562"/>
      <c r="L353" s="562">
        <f>1727.7*N351</f>
        <v>863.85</v>
      </c>
      <c r="M353" s="562"/>
      <c r="N353" s="562"/>
    </row>
    <row r="354" spans="1:14" ht="23.25">
      <c r="A354" s="503" t="s">
        <v>1073</v>
      </c>
      <c r="B354" s="552" t="s">
        <v>162</v>
      </c>
      <c r="C354" s="299" t="s">
        <v>51</v>
      </c>
      <c r="D354" s="299" t="s">
        <v>105</v>
      </c>
      <c r="E354" s="321">
        <v>1</v>
      </c>
      <c r="F354" s="560">
        <f>1257.5*N351</f>
        <v>628.75</v>
      </c>
      <c r="G354" s="561">
        <f t="shared" si="46"/>
        <v>628.75</v>
      </c>
      <c r="H354" s="554" t="s">
        <v>138</v>
      </c>
      <c r="I354" s="562" t="s">
        <v>163</v>
      </c>
      <c r="J354" s="562"/>
      <c r="K354" s="562"/>
      <c r="L354" s="562">
        <f>1727.7*N351</f>
        <v>863.85</v>
      </c>
      <c r="M354" s="562"/>
      <c r="N354" s="562"/>
    </row>
    <row r="355" spans="1:14" ht="23.25">
      <c r="A355" s="503" t="s">
        <v>1073</v>
      </c>
      <c r="B355" s="552" t="s">
        <v>162</v>
      </c>
      <c r="C355" s="299" t="s">
        <v>53</v>
      </c>
      <c r="D355" s="299" t="s">
        <v>106</v>
      </c>
      <c r="E355" s="321">
        <v>1.25</v>
      </c>
      <c r="F355" s="560">
        <f>1509.3*N351</f>
        <v>754.65</v>
      </c>
      <c r="G355" s="561">
        <f t="shared" si="46"/>
        <v>754.65</v>
      </c>
      <c r="H355" s="554" t="s">
        <v>138</v>
      </c>
      <c r="I355" s="562" t="s">
        <v>163</v>
      </c>
      <c r="J355" s="562"/>
      <c r="K355" s="562"/>
      <c r="L355" s="562">
        <f>1727.7*N351</f>
        <v>863.85</v>
      </c>
      <c r="M355" s="562"/>
      <c r="N355" s="562"/>
    </row>
    <row r="356" spans="1:14" ht="23.25">
      <c r="A356" s="503" t="s">
        <v>1073</v>
      </c>
      <c r="B356" s="552" t="s">
        <v>162</v>
      </c>
      <c r="C356" s="299" t="s">
        <v>55</v>
      </c>
      <c r="D356" s="299" t="s">
        <v>107</v>
      </c>
      <c r="E356" s="321">
        <v>1.5</v>
      </c>
      <c r="F356" s="560">
        <f>1878.6*N351</f>
        <v>939.3</v>
      </c>
      <c r="G356" s="561">
        <f t="shared" si="46"/>
        <v>939.3</v>
      </c>
      <c r="H356" s="554" t="s">
        <v>138</v>
      </c>
      <c r="I356" s="562" t="s">
        <v>163</v>
      </c>
      <c r="J356" s="562"/>
      <c r="K356" s="562"/>
      <c r="L356" s="562">
        <f>1727.7*N351</f>
        <v>863.85</v>
      </c>
      <c r="M356" s="562"/>
      <c r="N356" s="562"/>
    </row>
    <row r="357" spans="1:14" ht="23.25">
      <c r="A357" s="503" t="s">
        <v>1073</v>
      </c>
      <c r="B357" s="552" t="s">
        <v>162</v>
      </c>
      <c r="C357" s="299" t="s">
        <v>57</v>
      </c>
      <c r="D357" s="299" t="s">
        <v>31</v>
      </c>
      <c r="E357" s="321">
        <v>2</v>
      </c>
      <c r="F357" s="560">
        <f>2569.1*N351</f>
        <v>1284.55</v>
      </c>
      <c r="G357" s="561">
        <f t="shared" si="46"/>
        <v>1284.55</v>
      </c>
      <c r="H357" s="554" t="s">
        <v>138</v>
      </c>
      <c r="I357" s="562" t="s">
        <v>163</v>
      </c>
      <c r="J357" s="562"/>
      <c r="K357" s="562"/>
      <c r="L357" s="562">
        <f>3236*N351</f>
        <v>1618</v>
      </c>
      <c r="M357" s="562"/>
      <c r="N357" s="562"/>
    </row>
    <row r="358" spans="1:14" ht="23.25">
      <c r="A358" s="503" t="s">
        <v>1073</v>
      </c>
      <c r="B358" s="552" t="s">
        <v>162</v>
      </c>
      <c r="C358" s="562" t="s">
        <v>59</v>
      </c>
      <c r="D358" s="562" t="s">
        <v>1053</v>
      </c>
      <c r="E358" s="563">
        <v>2.5</v>
      </c>
      <c r="F358" s="560">
        <f>3284.4*N351</f>
        <v>1642.2</v>
      </c>
      <c r="G358" s="561">
        <f t="shared" si="46"/>
        <v>1726.2</v>
      </c>
      <c r="H358" s="554" t="s">
        <v>138</v>
      </c>
      <c r="I358" s="562" t="s">
        <v>164</v>
      </c>
      <c r="J358" s="562"/>
      <c r="K358" s="562"/>
      <c r="L358" s="562">
        <f>5861.2*N351</f>
        <v>2930.6</v>
      </c>
      <c r="M358" s="562">
        <v>84</v>
      </c>
      <c r="N358" s="562"/>
    </row>
    <row r="359" spans="1:14" ht="23.25">
      <c r="A359" s="503" t="s">
        <v>1073</v>
      </c>
      <c r="B359" s="552" t="s">
        <v>162</v>
      </c>
      <c r="C359" s="562" t="s">
        <v>60</v>
      </c>
      <c r="D359" s="562" t="s">
        <v>1054</v>
      </c>
      <c r="E359" s="563">
        <v>3</v>
      </c>
      <c r="F359" s="560">
        <f>4193.5*N351</f>
        <v>2096.75</v>
      </c>
      <c r="G359" s="561">
        <f t="shared" si="46"/>
        <v>2202.75</v>
      </c>
      <c r="H359" s="554" t="s">
        <v>138</v>
      </c>
      <c r="I359" s="562" t="s">
        <v>164</v>
      </c>
      <c r="J359" s="562"/>
      <c r="K359" s="562"/>
      <c r="L359" s="562">
        <f>5861.2*N351</f>
        <v>2930.6</v>
      </c>
      <c r="M359" s="562">
        <v>106</v>
      </c>
      <c r="N359" s="562"/>
    </row>
    <row r="360" spans="1:14" ht="23.25">
      <c r="A360" s="503" t="s">
        <v>1073</v>
      </c>
      <c r="B360" s="552" t="s">
        <v>162</v>
      </c>
      <c r="C360" s="562" t="s">
        <v>62</v>
      </c>
      <c r="D360" s="562" t="s">
        <v>210</v>
      </c>
      <c r="E360" s="563">
        <v>4</v>
      </c>
      <c r="F360" s="560">
        <f>5234.9*N351</f>
        <v>2617.4499999999998</v>
      </c>
      <c r="G360" s="561">
        <f t="shared" si="46"/>
        <v>2743.45</v>
      </c>
      <c r="H360" s="554" t="s">
        <v>138</v>
      </c>
      <c r="I360" s="562" t="s">
        <v>164</v>
      </c>
      <c r="J360" s="562"/>
      <c r="K360" s="562"/>
      <c r="L360" s="562">
        <f>5861.2*N351</f>
        <v>2930.6</v>
      </c>
      <c r="M360" s="562">
        <v>126</v>
      </c>
      <c r="N360" s="562"/>
    </row>
    <row r="361" spans="1:14" ht="23.25">
      <c r="A361" s="503" t="s">
        <v>1073</v>
      </c>
      <c r="B361" s="552" t="s">
        <v>162</v>
      </c>
      <c r="C361" s="562" t="s">
        <v>63</v>
      </c>
      <c r="D361" s="562" t="s">
        <v>168</v>
      </c>
      <c r="E361" s="563">
        <v>5</v>
      </c>
      <c r="F361" s="560">
        <f>14247.6*N351</f>
        <v>7123.8</v>
      </c>
      <c r="G361" s="561">
        <f t="shared" si="46"/>
        <v>7327.8</v>
      </c>
      <c r="H361" s="554" t="s">
        <v>138</v>
      </c>
      <c r="I361" s="562" t="s">
        <v>164</v>
      </c>
      <c r="J361" s="562"/>
      <c r="K361" s="562"/>
      <c r="L361" s="562">
        <f>8069.3*N351</f>
        <v>4034.65</v>
      </c>
      <c r="M361" s="562">
        <v>204</v>
      </c>
      <c r="N361" s="562"/>
    </row>
    <row r="362" spans="1:14" ht="23.25">
      <c r="A362" s="503" t="s">
        <v>1073</v>
      </c>
      <c r="B362" s="552" t="s">
        <v>162</v>
      </c>
      <c r="C362" s="562" t="s">
        <v>66</v>
      </c>
      <c r="D362" s="562" t="s">
        <v>169</v>
      </c>
      <c r="E362" s="563">
        <v>6</v>
      </c>
      <c r="F362" s="560">
        <f>16846.6*N351</f>
        <v>8423.2999999999993</v>
      </c>
      <c r="G362" s="561">
        <f t="shared" si="46"/>
        <v>8649.2999999999993</v>
      </c>
      <c r="H362" s="554" t="s">
        <v>138</v>
      </c>
      <c r="I362" s="562" t="s">
        <v>164</v>
      </c>
      <c r="J362" s="562"/>
      <c r="K362" s="562"/>
      <c r="L362" s="562">
        <f>8069.3*N351</f>
        <v>4034.65</v>
      </c>
      <c r="M362" s="562">
        <v>226</v>
      </c>
      <c r="N362" s="562"/>
    </row>
    <row r="363" spans="1:14" ht="23.25">
      <c r="A363" s="503" t="s">
        <v>1073</v>
      </c>
      <c r="B363" s="552" t="s">
        <v>162</v>
      </c>
      <c r="C363" s="562" t="s">
        <v>121</v>
      </c>
      <c r="D363" s="562" t="s">
        <v>170</v>
      </c>
      <c r="E363" s="563">
        <v>8</v>
      </c>
      <c r="F363" s="560">
        <f>119712.4*N351</f>
        <v>59856.2</v>
      </c>
      <c r="G363" s="561">
        <f t="shared" si="46"/>
        <v>60196.2</v>
      </c>
      <c r="H363" s="554" t="s">
        <v>138</v>
      </c>
      <c r="I363" s="562" t="s">
        <v>165</v>
      </c>
      <c r="J363" s="562"/>
      <c r="K363" s="562"/>
      <c r="L363" s="562">
        <f>8069.3*N351</f>
        <v>4034.65</v>
      </c>
      <c r="M363" s="562">
        <v>340</v>
      </c>
      <c r="N363" s="562"/>
    </row>
    <row r="364" spans="1:14" ht="23.25">
      <c r="A364" s="503" t="s">
        <v>1073</v>
      </c>
      <c r="B364" s="552" t="s">
        <v>162</v>
      </c>
      <c r="C364" s="562" t="s">
        <v>122</v>
      </c>
      <c r="D364" s="562" t="s">
        <v>171</v>
      </c>
      <c r="E364" s="563">
        <v>10</v>
      </c>
      <c r="F364" s="560">
        <f>157818.3*N351</f>
        <v>78909.149999999994</v>
      </c>
      <c r="G364" s="561">
        <f t="shared" si="46"/>
        <v>79413.149999999994</v>
      </c>
      <c r="H364" s="554" t="s">
        <v>138</v>
      </c>
      <c r="I364" s="562" t="s">
        <v>165</v>
      </c>
      <c r="J364" s="562"/>
      <c r="K364" s="562"/>
      <c r="L364" s="562">
        <f>20091.4*N351</f>
        <v>10045.700000000001</v>
      </c>
      <c r="M364" s="562">
        <v>504</v>
      </c>
      <c r="N364" s="562"/>
    </row>
    <row r="365" spans="1:14" ht="23.25">
      <c r="A365" s="503" t="s">
        <v>1073</v>
      </c>
      <c r="B365" s="552" t="s">
        <v>162</v>
      </c>
      <c r="C365" s="562" t="s">
        <v>156</v>
      </c>
      <c r="D365" s="562" t="s">
        <v>172</v>
      </c>
      <c r="E365" s="563">
        <v>12</v>
      </c>
      <c r="F365" s="560">
        <f>218476.3*0.5</f>
        <v>109238.15</v>
      </c>
      <c r="G365" s="561">
        <f t="shared" si="46"/>
        <v>109922.15</v>
      </c>
      <c r="H365" s="554" t="s">
        <v>138</v>
      </c>
      <c r="I365" s="562" t="s">
        <v>165</v>
      </c>
      <c r="J365" s="562"/>
      <c r="K365" s="562"/>
      <c r="L365" s="562">
        <f>20091.4*N351</f>
        <v>10045.700000000001</v>
      </c>
      <c r="M365" s="562">
        <v>684</v>
      </c>
      <c r="N365" s="562"/>
    </row>
    <row r="366" spans="1:14">
      <c r="A366" s="500"/>
      <c r="B366" s="558"/>
      <c r="C366" s="558"/>
      <c r="D366" s="558"/>
      <c r="E366" s="558"/>
      <c r="F366" s="559"/>
      <c r="G366" s="558"/>
      <c r="H366" s="558"/>
      <c r="I366" s="558"/>
      <c r="J366" s="558"/>
      <c r="K366" s="558"/>
      <c r="L366" s="558"/>
      <c r="M366" s="558"/>
      <c r="N366" s="558">
        <v>0.5</v>
      </c>
    </row>
    <row r="367" spans="1:14" ht="23.25">
      <c r="A367" s="503" t="s">
        <v>1073</v>
      </c>
      <c r="B367" s="552" t="s">
        <v>167</v>
      </c>
      <c r="C367" s="299" t="s">
        <v>47</v>
      </c>
      <c r="D367" s="299" t="s">
        <v>99</v>
      </c>
      <c r="E367" s="321">
        <v>0.5</v>
      </c>
      <c r="F367" s="560">
        <f>1030.3*N366</f>
        <v>515.15</v>
      </c>
      <c r="G367" s="561">
        <f>F367+L367+M367</f>
        <v>1379</v>
      </c>
      <c r="H367" s="554" t="s">
        <v>138</v>
      </c>
      <c r="I367" s="562" t="s">
        <v>163</v>
      </c>
      <c r="J367" s="562"/>
      <c r="K367" s="562"/>
      <c r="L367" s="562">
        <f>1727.7*N366</f>
        <v>863.85</v>
      </c>
      <c r="M367" s="562"/>
      <c r="N367" s="562"/>
    </row>
    <row r="368" spans="1:14" ht="23.25">
      <c r="A368" s="503" t="s">
        <v>1073</v>
      </c>
      <c r="B368" s="552" t="s">
        <v>167</v>
      </c>
      <c r="C368" s="299" t="s">
        <v>49</v>
      </c>
      <c r="D368" s="299" t="s">
        <v>104</v>
      </c>
      <c r="E368" s="321">
        <v>0.75</v>
      </c>
      <c r="F368" s="560">
        <f>1053.2*N366</f>
        <v>526.6</v>
      </c>
      <c r="G368" s="561">
        <f t="shared" ref="G368:G380" si="47">F368+L368+M368</f>
        <v>1390.45</v>
      </c>
      <c r="H368" s="554" t="s">
        <v>138</v>
      </c>
      <c r="I368" s="562" t="s">
        <v>163</v>
      </c>
      <c r="J368" s="562"/>
      <c r="K368" s="562"/>
      <c r="L368" s="562">
        <f>1727.7*N366</f>
        <v>863.85</v>
      </c>
      <c r="M368" s="562"/>
      <c r="N368" s="562"/>
    </row>
    <row r="369" spans="1:14" ht="23.25">
      <c r="A369" s="503" t="s">
        <v>1073</v>
      </c>
      <c r="B369" s="552" t="s">
        <v>167</v>
      </c>
      <c r="C369" s="299" t="s">
        <v>51</v>
      </c>
      <c r="D369" s="299" t="s">
        <v>105</v>
      </c>
      <c r="E369" s="321">
        <v>1</v>
      </c>
      <c r="F369" s="560">
        <f>1257.5*N366</f>
        <v>628.75</v>
      </c>
      <c r="G369" s="561">
        <f t="shared" si="47"/>
        <v>1492.6</v>
      </c>
      <c r="H369" s="554" t="s">
        <v>138</v>
      </c>
      <c r="I369" s="562" t="s">
        <v>163</v>
      </c>
      <c r="J369" s="562"/>
      <c r="K369" s="562"/>
      <c r="L369" s="562">
        <f>1727.7*N366</f>
        <v>863.85</v>
      </c>
      <c r="M369" s="562"/>
      <c r="N369" s="562"/>
    </row>
    <row r="370" spans="1:14" ht="23.25">
      <c r="A370" s="503" t="s">
        <v>1073</v>
      </c>
      <c r="B370" s="552" t="s">
        <v>167</v>
      </c>
      <c r="C370" s="299" t="s">
        <v>53</v>
      </c>
      <c r="D370" s="299" t="s">
        <v>106</v>
      </c>
      <c r="E370" s="321">
        <v>1.25</v>
      </c>
      <c r="F370" s="560">
        <f>1509.3*N366</f>
        <v>754.65</v>
      </c>
      <c r="G370" s="561">
        <f t="shared" si="47"/>
        <v>1618.5</v>
      </c>
      <c r="H370" s="554" t="s">
        <v>138</v>
      </c>
      <c r="I370" s="562" t="s">
        <v>163</v>
      </c>
      <c r="J370" s="562"/>
      <c r="K370" s="562"/>
      <c r="L370" s="562">
        <f>1727.7*N366</f>
        <v>863.85</v>
      </c>
      <c r="M370" s="562"/>
      <c r="N370" s="562"/>
    </row>
    <row r="371" spans="1:14" ht="23.25">
      <c r="A371" s="503" t="s">
        <v>1073</v>
      </c>
      <c r="B371" s="552" t="s">
        <v>167</v>
      </c>
      <c r="C371" s="299" t="s">
        <v>55</v>
      </c>
      <c r="D371" s="299" t="s">
        <v>107</v>
      </c>
      <c r="E371" s="321">
        <v>1.5</v>
      </c>
      <c r="F371" s="560">
        <f>1878.6*N366</f>
        <v>939.3</v>
      </c>
      <c r="G371" s="561">
        <f t="shared" si="47"/>
        <v>1803.15</v>
      </c>
      <c r="H371" s="554" t="s">
        <v>138</v>
      </c>
      <c r="I371" s="562" t="s">
        <v>163</v>
      </c>
      <c r="J371" s="562"/>
      <c r="K371" s="562"/>
      <c r="L371" s="562">
        <f>1727.7*N366</f>
        <v>863.85</v>
      </c>
      <c r="M371" s="562"/>
      <c r="N371" s="562"/>
    </row>
    <row r="372" spans="1:14" ht="23.25">
      <c r="A372" s="503" t="s">
        <v>1073</v>
      </c>
      <c r="B372" s="552" t="s">
        <v>167</v>
      </c>
      <c r="C372" s="299" t="s">
        <v>57</v>
      </c>
      <c r="D372" s="299" t="s">
        <v>31</v>
      </c>
      <c r="E372" s="321">
        <v>2</v>
      </c>
      <c r="F372" s="560">
        <f>2569.1*N366</f>
        <v>1284.55</v>
      </c>
      <c r="G372" s="561">
        <f t="shared" si="47"/>
        <v>2902.55</v>
      </c>
      <c r="H372" s="554" t="s">
        <v>138</v>
      </c>
      <c r="I372" s="562" t="s">
        <v>163</v>
      </c>
      <c r="J372" s="562"/>
      <c r="K372" s="562"/>
      <c r="L372" s="562">
        <f>3236*N366</f>
        <v>1618</v>
      </c>
      <c r="M372" s="562"/>
      <c r="N372" s="562"/>
    </row>
    <row r="373" spans="1:14" ht="23.25">
      <c r="A373" s="503" t="s">
        <v>1073</v>
      </c>
      <c r="B373" s="552" t="s">
        <v>167</v>
      </c>
      <c r="C373" s="562" t="s">
        <v>59</v>
      </c>
      <c r="D373" s="562" t="s">
        <v>1053</v>
      </c>
      <c r="E373" s="563">
        <v>2.5</v>
      </c>
      <c r="F373" s="560">
        <f>3284.4*N366</f>
        <v>1642.2</v>
      </c>
      <c r="G373" s="561">
        <f t="shared" si="47"/>
        <v>4656.8</v>
      </c>
      <c r="H373" s="554" t="s">
        <v>138</v>
      </c>
      <c r="I373" s="562" t="s">
        <v>164</v>
      </c>
      <c r="J373" s="562"/>
      <c r="K373" s="562"/>
      <c r="L373" s="562">
        <f>5861.2*N366</f>
        <v>2930.6</v>
      </c>
      <c r="M373" s="562">
        <v>84</v>
      </c>
      <c r="N373" s="562"/>
    </row>
    <row r="374" spans="1:14" ht="23.25">
      <c r="A374" s="503" t="s">
        <v>1073</v>
      </c>
      <c r="B374" s="552" t="s">
        <v>167</v>
      </c>
      <c r="C374" s="562" t="s">
        <v>60</v>
      </c>
      <c r="D374" s="562" t="s">
        <v>1054</v>
      </c>
      <c r="E374" s="563">
        <v>3</v>
      </c>
      <c r="F374" s="560">
        <f>4193.5*N366</f>
        <v>2096.75</v>
      </c>
      <c r="G374" s="561">
        <f t="shared" si="47"/>
        <v>5133.3500000000004</v>
      </c>
      <c r="H374" s="554" t="s">
        <v>138</v>
      </c>
      <c r="I374" s="562" t="s">
        <v>164</v>
      </c>
      <c r="J374" s="562"/>
      <c r="K374" s="562"/>
      <c r="L374" s="562">
        <f>5861.2*N366</f>
        <v>2930.6</v>
      </c>
      <c r="M374" s="562">
        <v>106</v>
      </c>
      <c r="N374" s="562"/>
    </row>
    <row r="375" spans="1:14" ht="23.25">
      <c r="A375" s="503" t="s">
        <v>1073</v>
      </c>
      <c r="B375" s="552" t="s">
        <v>167</v>
      </c>
      <c r="C375" s="562" t="s">
        <v>62</v>
      </c>
      <c r="D375" s="562" t="s">
        <v>210</v>
      </c>
      <c r="E375" s="563">
        <v>4</v>
      </c>
      <c r="F375" s="560">
        <f>5234.9*N366</f>
        <v>2617.4499999999998</v>
      </c>
      <c r="G375" s="561">
        <f t="shared" si="47"/>
        <v>5674.0499999999993</v>
      </c>
      <c r="H375" s="554" t="s">
        <v>138</v>
      </c>
      <c r="I375" s="562" t="s">
        <v>164</v>
      </c>
      <c r="J375" s="562"/>
      <c r="K375" s="562"/>
      <c r="L375" s="562">
        <f>5861.2*N366</f>
        <v>2930.6</v>
      </c>
      <c r="M375" s="562">
        <v>126</v>
      </c>
      <c r="N375" s="562"/>
    </row>
    <row r="376" spans="1:14" ht="23.25">
      <c r="A376" s="503" t="s">
        <v>1073</v>
      </c>
      <c r="B376" s="552" t="s">
        <v>167</v>
      </c>
      <c r="C376" s="562" t="s">
        <v>63</v>
      </c>
      <c r="D376" s="562" t="s">
        <v>168</v>
      </c>
      <c r="E376" s="563">
        <v>5</v>
      </c>
      <c r="F376" s="560">
        <f>14247.6*N366</f>
        <v>7123.8</v>
      </c>
      <c r="G376" s="561">
        <f t="shared" si="47"/>
        <v>11362.45</v>
      </c>
      <c r="H376" s="554" t="s">
        <v>138</v>
      </c>
      <c r="I376" s="562" t="s">
        <v>164</v>
      </c>
      <c r="J376" s="562"/>
      <c r="K376" s="562"/>
      <c r="L376" s="562">
        <f>8069.3*N366</f>
        <v>4034.65</v>
      </c>
      <c r="M376" s="562">
        <v>204</v>
      </c>
      <c r="N376" s="562"/>
    </row>
    <row r="377" spans="1:14" ht="23.25">
      <c r="A377" s="503" t="s">
        <v>1073</v>
      </c>
      <c r="B377" s="552" t="s">
        <v>167</v>
      </c>
      <c r="C377" s="562" t="s">
        <v>66</v>
      </c>
      <c r="D377" s="562" t="s">
        <v>169</v>
      </c>
      <c r="E377" s="563">
        <v>6</v>
      </c>
      <c r="F377" s="560">
        <f>16846.6*N366</f>
        <v>8423.2999999999993</v>
      </c>
      <c r="G377" s="561">
        <f t="shared" si="47"/>
        <v>12683.949999999999</v>
      </c>
      <c r="H377" s="554" t="s">
        <v>138</v>
      </c>
      <c r="I377" s="562" t="s">
        <v>164</v>
      </c>
      <c r="J377" s="562"/>
      <c r="K377" s="562"/>
      <c r="L377" s="562">
        <f>8069.3*N366</f>
        <v>4034.65</v>
      </c>
      <c r="M377" s="562">
        <v>226</v>
      </c>
      <c r="N377" s="562"/>
    </row>
    <row r="378" spans="1:14" ht="23.25">
      <c r="A378" s="503" t="s">
        <v>1073</v>
      </c>
      <c r="B378" s="552" t="s">
        <v>167</v>
      </c>
      <c r="C378" s="562" t="s">
        <v>121</v>
      </c>
      <c r="D378" s="562" t="s">
        <v>170</v>
      </c>
      <c r="E378" s="563">
        <v>8</v>
      </c>
      <c r="F378" s="560">
        <f>119712.4*N366</f>
        <v>59856.2</v>
      </c>
      <c r="G378" s="561">
        <f t="shared" si="47"/>
        <v>64230.85</v>
      </c>
      <c r="H378" s="554" t="s">
        <v>138</v>
      </c>
      <c r="I378" s="562" t="s">
        <v>165</v>
      </c>
      <c r="J378" s="562"/>
      <c r="K378" s="562"/>
      <c r="L378" s="562">
        <f>8069.3*N366</f>
        <v>4034.65</v>
      </c>
      <c r="M378" s="562">
        <v>340</v>
      </c>
      <c r="N378" s="562"/>
    </row>
    <row r="379" spans="1:14" ht="23.25">
      <c r="A379" s="503" t="s">
        <v>1073</v>
      </c>
      <c r="B379" s="552" t="s">
        <v>167</v>
      </c>
      <c r="C379" s="562" t="s">
        <v>122</v>
      </c>
      <c r="D379" s="562" t="s">
        <v>171</v>
      </c>
      <c r="E379" s="563">
        <v>10</v>
      </c>
      <c r="F379" s="560">
        <f>157818.3*N366</f>
        <v>78909.149999999994</v>
      </c>
      <c r="G379" s="561">
        <f t="shared" si="47"/>
        <v>89458.849999999991</v>
      </c>
      <c r="H379" s="554" t="s">
        <v>138</v>
      </c>
      <c r="I379" s="562" t="s">
        <v>165</v>
      </c>
      <c r="J379" s="562"/>
      <c r="K379" s="562"/>
      <c r="L379" s="562">
        <f>20091.4*N366</f>
        <v>10045.700000000001</v>
      </c>
      <c r="M379" s="562">
        <v>504</v>
      </c>
      <c r="N379" s="562"/>
    </row>
    <row r="380" spans="1:14" ht="23.25">
      <c r="A380" s="503" t="s">
        <v>1073</v>
      </c>
      <c r="B380" s="552" t="s">
        <v>167</v>
      </c>
      <c r="C380" s="562" t="s">
        <v>156</v>
      </c>
      <c r="D380" s="562" t="s">
        <v>172</v>
      </c>
      <c r="E380" s="563">
        <v>12</v>
      </c>
      <c r="F380" s="560">
        <f>218476.3*0.5</f>
        <v>109238.15</v>
      </c>
      <c r="G380" s="561">
        <f t="shared" si="47"/>
        <v>119967.84999999999</v>
      </c>
      <c r="H380" s="554" t="s">
        <v>138</v>
      </c>
      <c r="I380" s="562" t="s">
        <v>165</v>
      </c>
      <c r="J380" s="562"/>
      <c r="K380" s="562"/>
      <c r="L380" s="562">
        <f>20091.4*N366</f>
        <v>10045.700000000001</v>
      </c>
      <c r="M380" s="562">
        <v>684</v>
      </c>
      <c r="N380" s="562"/>
    </row>
  </sheetData>
  <autoFilter ref="A1:N380" xr:uid="{4153B147-C433-4C00-BF32-6E08B1CBD12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4302bc-f5e6-45b7-9fbc-226bb240ddfa">
      <Terms xmlns="http://schemas.microsoft.com/office/infopath/2007/PartnerControls"/>
    </lcf76f155ced4ddcb4097134ff3c332f>
    <TaxCatchAll xmlns="d0bf2d2a-72cc-4162-a1f3-6d9fe2798b2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6F49A5C87AD04ABD63A869054A5420" ma:contentTypeVersion="10" ma:contentTypeDescription="Utwórz nowy dokument." ma:contentTypeScope="" ma:versionID="03c8ae0bbea2882a32518f82c3ba628e">
  <xsd:schema xmlns:xsd="http://www.w3.org/2001/XMLSchema" xmlns:xs="http://www.w3.org/2001/XMLSchema" xmlns:p="http://schemas.microsoft.com/office/2006/metadata/properties" xmlns:ns2="224302bc-f5e6-45b7-9fbc-226bb240ddfa" xmlns:ns3="d0bf2d2a-72cc-4162-a1f3-6d9fe2798b27" targetNamespace="http://schemas.microsoft.com/office/2006/metadata/properties" ma:root="true" ma:fieldsID="d32c356a36479d6ce599bdaf2a3a8d3d" ns2:_="" ns3:_="">
    <xsd:import namespace="224302bc-f5e6-45b7-9fbc-226bb240ddfa"/>
    <xsd:import namespace="d0bf2d2a-72cc-4162-a1f3-6d9fe2798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302bc-f5e6-45b7-9fbc-226bb240d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f69a20d7-b0bf-4ff3-bf35-a15106e8c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bf2d2a-72cc-4162-a1f3-6d9fe2798b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1e31c23-2a89-4377-baf8-caf59dce3986}" ma:internalName="TaxCatchAll" ma:showField="CatchAllData" ma:web="d0bf2d2a-72cc-4162-a1f3-6d9fe2798b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F71ED-BCBB-47BA-8C03-75DBA5B1371B}"/>
</file>

<file path=customXml/itemProps2.xml><?xml version="1.0" encoding="utf-8"?>
<ds:datastoreItem xmlns:ds="http://schemas.openxmlformats.org/officeDocument/2006/customXml" ds:itemID="{138243B1-33C9-4954-921F-B318FFEE199C}"/>
</file>

<file path=customXml/itemProps3.xml><?xml version="1.0" encoding="utf-8"?>
<ds:datastoreItem xmlns:ds="http://schemas.openxmlformats.org/officeDocument/2006/customXml" ds:itemID="{63AA7893-8584-4930-AF35-0ECCAD45D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Ewelina Karbowniak</dc:creator>
  <cp:keywords/>
  <dc:description/>
  <cp:lastModifiedBy>Ewelina Karbowniak</cp:lastModifiedBy>
  <cp:revision/>
  <dcterms:created xsi:type="dcterms:W3CDTF">2025-07-23T09:53:02Z</dcterms:created>
  <dcterms:modified xsi:type="dcterms:W3CDTF">2025-09-01T07:37:35Z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0x0101005A6F49A5C87AD04ABD63A869054A5420</vt:lpwstr>
  </property>
  <property fmtid="{D5CDD505-2E9C-101B-9397-08002B2CF9AE}" pid="3" name="MediaServiceImageTags">
    <vt:lpwstr/>
  </property>
</Properties>
</file>