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0490" windowHeight="7020"/>
  </bookViews>
  <sheets>
    <sheet name="Зведена таблиця" sheetId="4" r:id="rId1"/>
    <sheet name="База даних" sheetId="1" r:id="rId2"/>
    <sheet name="Статистичний звіт" sheetId="2" r:id="rId3"/>
    <sheet name="Звіт по парній регресії" sheetId="3" r:id="rId4"/>
  </sheets>
  <definedNames>
    <definedName name="Срез_Тип_доставки">#N/A</definedName>
    <definedName name="Срез_Ціна">#N/A</definedName>
  </definedNames>
  <calcPr calcId="145621"/>
  <pivotCaches>
    <pivotCache cacheId="28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72" i="1"/>
  <c r="C70" i="1"/>
  <c r="G46" i="1" l="1"/>
  <c r="G48" i="1"/>
  <c r="K38" i="1"/>
  <c r="K36" i="1"/>
  <c r="K34" i="1"/>
  <c r="K32" i="1"/>
  <c r="G43" i="1" a="1"/>
  <c r="G43" i="1" s="1"/>
  <c r="G39" i="1" a="1"/>
  <c r="G39" i="1" s="1"/>
  <c r="G36" i="1" a="1"/>
  <c r="G36" i="1" s="1"/>
  <c r="G32" i="1" a="1"/>
  <c r="H32" i="1" s="1"/>
  <c r="H44" i="1" l="1"/>
  <c r="H43" i="1"/>
  <c r="G44" i="1"/>
  <c r="H40" i="1"/>
  <c r="H39" i="1"/>
  <c r="G40" i="1"/>
  <c r="H37" i="1"/>
  <c r="H36" i="1"/>
  <c r="G37" i="1"/>
  <c r="G33" i="1"/>
  <c r="G32" i="1"/>
  <c r="H33" i="1"/>
  <c r="B6" i="3"/>
  <c r="B5" i="3"/>
  <c r="B4" i="3"/>
  <c r="B3" i="3"/>
  <c r="B2" i="3"/>
  <c r="F5" i="2" l="1"/>
  <c r="F6" i="2"/>
  <c r="F7" i="2"/>
  <c r="F8" i="2"/>
  <c r="F9" i="2"/>
  <c r="F10" i="2"/>
  <c r="F11" i="2"/>
  <c r="F12" i="2"/>
  <c r="F13" i="2"/>
  <c r="F14" i="2"/>
  <c r="F4" i="2"/>
  <c r="C5" i="2"/>
  <c r="I7" i="2" s="1"/>
  <c r="C2" i="2"/>
  <c r="I4" i="2" s="1"/>
  <c r="A11" i="2"/>
  <c r="A8" i="2"/>
  <c r="A5" i="2"/>
  <c r="A2" i="2"/>
  <c r="C20" i="2" s="1"/>
  <c r="J7" i="2" l="1"/>
  <c r="A17" i="2"/>
  <c r="C17" i="2"/>
  <c r="A20" i="2"/>
  <c r="I8" i="2" l="1"/>
  <c r="J8" i="2" s="1"/>
  <c r="K7" i="2"/>
  <c r="L7" i="2" s="1"/>
  <c r="K8" i="2" l="1"/>
  <c r="L8" i="2" s="1"/>
  <c r="I9" i="2"/>
  <c r="J9" i="2" s="1"/>
  <c r="K9" i="2" l="1"/>
  <c r="L9" i="2" s="1"/>
  <c r="I10" i="2"/>
  <c r="J10" i="2" s="1"/>
  <c r="K10" i="2" s="1"/>
  <c r="L10" i="2" s="1"/>
</calcChain>
</file>

<file path=xl/sharedStrings.xml><?xml version="1.0" encoding="utf-8"?>
<sst xmlns="http://schemas.openxmlformats.org/spreadsheetml/2006/main" count="163" uniqueCount="89">
  <si>
    <t>Ціна</t>
  </si>
  <si>
    <t>Тип доставки</t>
  </si>
  <si>
    <t>Час доставки</t>
  </si>
  <si>
    <t>Попит</t>
  </si>
  <si>
    <t>Постачальник</t>
  </si>
  <si>
    <r>
      <t xml:space="preserve">Товар: </t>
    </r>
    <r>
      <rPr>
        <i/>
        <sz val="11"/>
        <color theme="1"/>
        <rFont val="Calibri"/>
        <family val="2"/>
        <charset val="204"/>
        <scheme val="minor"/>
      </rPr>
      <t>цигарки</t>
    </r>
  </si>
  <si>
    <t>Marlboro</t>
  </si>
  <si>
    <t>Winston</t>
  </si>
  <si>
    <t>Sobranie</t>
  </si>
  <si>
    <t>L&amp;M</t>
  </si>
  <si>
    <t>L&amp;D</t>
  </si>
  <si>
    <t>Kiss</t>
  </si>
  <si>
    <t>Style</t>
  </si>
  <si>
    <t>Monte Carlo</t>
  </si>
  <si>
    <t>Bond</t>
  </si>
  <si>
    <t>Rothmans</t>
  </si>
  <si>
    <t>Camel</t>
  </si>
  <si>
    <t>Parliament</t>
  </si>
  <si>
    <t>Muratti</t>
  </si>
  <si>
    <t>Kent</t>
  </si>
  <si>
    <t>Davidoff</t>
  </si>
  <si>
    <t>Glamour</t>
  </si>
  <si>
    <t>West</t>
  </si>
  <si>
    <t>Chesterfield</t>
  </si>
  <si>
    <t>Прилуки</t>
  </si>
  <si>
    <t>NEXT</t>
  </si>
  <si>
    <t>Харківська фабрика по виготовленню цигарок</t>
  </si>
  <si>
    <t>кур'єр</t>
  </si>
  <si>
    <t>3-5 годин</t>
  </si>
  <si>
    <t>Середнє значення</t>
  </si>
  <si>
    <t>Мода</t>
  </si>
  <si>
    <t>Медіана</t>
  </si>
  <si>
    <t>Варіація</t>
  </si>
  <si>
    <t>Межі розсіювання вибірки</t>
  </si>
  <si>
    <t>Нижня межа</t>
  </si>
  <si>
    <t>Верхня межа</t>
  </si>
  <si>
    <t>63% вибірки</t>
  </si>
  <si>
    <t>95% вибірки</t>
  </si>
  <si>
    <t>Максимальне значення</t>
  </si>
  <si>
    <t>Гістограма частот</t>
  </si>
  <si>
    <t>1. Визначимо кількість бінів</t>
  </si>
  <si>
    <t>Отже, кількість бінів має становити 4</t>
  </si>
  <si>
    <t>2. Визначимо крок для кожного біну</t>
  </si>
  <si>
    <t>Н</t>
  </si>
  <si>
    <t>№ біну</t>
  </si>
  <si>
    <t>Частота</t>
  </si>
  <si>
    <t>Ймовірність</t>
  </si>
  <si>
    <t>Мінімальне значення</t>
  </si>
  <si>
    <t>Встановлення зв’яхків між ознаками</t>
  </si>
  <si>
    <t xml:space="preserve">1. Визначимо коефіцієнт кореляції між ціною та попитом </t>
  </si>
  <si>
    <t>Середнє значення ціни</t>
  </si>
  <si>
    <t>Середнє значення попиту</t>
  </si>
  <si>
    <t>Стандартне відхилення ціни</t>
  </si>
  <si>
    <t>Стандартне відхилення попиту</t>
  </si>
  <si>
    <t>Висновок: зв'язок між ціною та попитом на 78% наближається до лінійного, варіація ціни на 78% пояснюється варіацією попиту.</t>
  </si>
  <si>
    <t>Побудова кореляційного поля та точок тренду</t>
  </si>
  <si>
    <t>x-ціна</t>
  </si>
  <si>
    <t>у-попит</t>
  </si>
  <si>
    <t>x=</t>
  </si>
  <si>
    <t>Xтр=</t>
  </si>
  <si>
    <t>Хтр*Х=</t>
  </si>
  <si>
    <t>(Хтр*Х)обер=</t>
  </si>
  <si>
    <t>Y=</t>
  </si>
  <si>
    <t>Xтр*Y=</t>
  </si>
  <si>
    <t>В=</t>
  </si>
  <si>
    <t>Хср=</t>
  </si>
  <si>
    <t>ХУср=</t>
  </si>
  <si>
    <t>Уср=</t>
  </si>
  <si>
    <t>Х^2ср=</t>
  </si>
  <si>
    <t>В0=</t>
  </si>
  <si>
    <t>В1=</t>
  </si>
  <si>
    <t>Київська фабрика по виготовленню цигарок</t>
  </si>
  <si>
    <t>Сумська фабрика по виготовленню цигарок</t>
  </si>
  <si>
    <t>Запорізька фабрика по виготовленню цигарок</t>
  </si>
  <si>
    <t>Донецька фабрика по виготовленню цигарок</t>
  </si>
  <si>
    <t>Теоретичне значення Фішера</t>
  </si>
  <si>
    <t>Теоретичне значення Стьюдента</t>
  </si>
  <si>
    <t>Довірчі інтервали</t>
  </si>
  <si>
    <t>(Все)</t>
  </si>
  <si>
    <t>Общий итог</t>
  </si>
  <si>
    <t xml:space="preserve"> Ціна</t>
  </si>
  <si>
    <t xml:space="preserve"> Попит</t>
  </si>
  <si>
    <t>Цигарки</t>
  </si>
  <si>
    <t xml:space="preserve"> Дохід</t>
  </si>
  <si>
    <t>пошта</t>
  </si>
  <si>
    <t>автолюкс</t>
  </si>
  <si>
    <t>5 днів</t>
  </si>
  <si>
    <t>2 дні</t>
  </si>
  <si>
    <t>12 годин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</si>
</sst>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.00\ [$UAH]_-;\-* #,##0.00\ [$UAH]_-;_-* &quot;-&quot;??\ [$UAH]_-;_-@_-"/>
    <numFmt numFmtId="166" formatCode="#,##0.00\ [$UAH]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6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16" fontId="0" fillId="0" borderId="0" xfId="0" applyNumberFormat="1" applyAlignment="1">
      <alignment horizontal="right"/>
    </xf>
  </cellXfs>
  <cellStyles count="2">
    <cellStyle name="Обычный" xfId="0" builtinId="0"/>
    <cellStyle name="Процентный" xfId="1" builtinId="5"/>
  </cellStyles>
  <dxfs count="23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[Ekonometrika_Nuzhna_Roslyakova.xlsx]Зведена таблиця!Зведена таблиця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ofPieChart>
        <c:ofPieType val="bar"/>
        <c:varyColors val="1"/>
        <c:ser>
          <c:idx val="0"/>
          <c:order val="0"/>
          <c:tx>
            <c:strRef>
              <c:f>'Зведена таблиця'!$B$3</c:f>
              <c:strCache>
                <c:ptCount val="1"/>
                <c:pt idx="0">
                  <c:v> Ціна</c:v>
                </c:pt>
              </c:strCache>
            </c:strRef>
          </c:tx>
          <c:cat>
            <c:strRef>
              <c:f>'Зведена таблиця'!$A$4:$A$24</c:f>
              <c:strCache>
                <c:ptCount val="20"/>
                <c:pt idx="0">
                  <c:v>Bond</c:v>
                </c:pt>
                <c:pt idx="1">
                  <c:v>Camel</c:v>
                </c:pt>
                <c:pt idx="2">
                  <c:v>Chesterfield</c:v>
                </c:pt>
                <c:pt idx="3">
                  <c:v>Davidoff</c:v>
                </c:pt>
                <c:pt idx="4">
                  <c:v>Glamour</c:v>
                </c:pt>
                <c:pt idx="5">
                  <c:v>Kent</c:v>
                </c:pt>
                <c:pt idx="6">
                  <c:v>Kiss</c:v>
                </c:pt>
                <c:pt idx="7">
                  <c:v>L&amp;D</c:v>
                </c:pt>
                <c:pt idx="8">
                  <c:v>L&amp;M</c:v>
                </c:pt>
                <c:pt idx="9">
                  <c:v>Marlboro</c:v>
                </c:pt>
                <c:pt idx="10">
                  <c:v>Monte Carlo</c:v>
                </c:pt>
                <c:pt idx="11">
                  <c:v>Muratti</c:v>
                </c:pt>
                <c:pt idx="12">
                  <c:v>NEXT</c:v>
                </c:pt>
                <c:pt idx="13">
                  <c:v>Parliament</c:v>
                </c:pt>
                <c:pt idx="14">
                  <c:v>Rothmans</c:v>
                </c:pt>
                <c:pt idx="15">
                  <c:v>Sobranie</c:v>
                </c:pt>
                <c:pt idx="16">
                  <c:v>Style</c:v>
                </c:pt>
                <c:pt idx="17">
                  <c:v>West</c:v>
                </c:pt>
                <c:pt idx="18">
                  <c:v>Winston</c:v>
                </c:pt>
                <c:pt idx="19">
                  <c:v>Прилуки</c:v>
                </c:pt>
              </c:strCache>
            </c:strRef>
          </c:cat>
          <c:val>
            <c:numRef>
              <c:f>'Зведена таблиця'!$B$4:$B$24</c:f>
              <c:numCache>
                <c:formatCode>General</c:formatCode>
                <c:ptCount val="20"/>
                <c:pt idx="0">
                  <c:v>15.25</c:v>
                </c:pt>
                <c:pt idx="1">
                  <c:v>23.62</c:v>
                </c:pt>
                <c:pt idx="2">
                  <c:v>22.57</c:v>
                </c:pt>
                <c:pt idx="3">
                  <c:v>23.01</c:v>
                </c:pt>
                <c:pt idx="4">
                  <c:v>21.52</c:v>
                </c:pt>
                <c:pt idx="5">
                  <c:v>22.05</c:v>
                </c:pt>
                <c:pt idx="6">
                  <c:v>24.6</c:v>
                </c:pt>
                <c:pt idx="7">
                  <c:v>15.2</c:v>
                </c:pt>
                <c:pt idx="8">
                  <c:v>18.899999999999999</c:v>
                </c:pt>
                <c:pt idx="9">
                  <c:v>25.2</c:v>
                </c:pt>
                <c:pt idx="10">
                  <c:v>17.850000000000001</c:v>
                </c:pt>
                <c:pt idx="11">
                  <c:v>21.52</c:v>
                </c:pt>
                <c:pt idx="12">
                  <c:v>16.8</c:v>
                </c:pt>
                <c:pt idx="13">
                  <c:v>29.4</c:v>
                </c:pt>
                <c:pt idx="14">
                  <c:v>17.850000000000001</c:v>
                </c:pt>
                <c:pt idx="15">
                  <c:v>30.97</c:v>
                </c:pt>
                <c:pt idx="16">
                  <c:v>23.56</c:v>
                </c:pt>
                <c:pt idx="17">
                  <c:v>13.59</c:v>
                </c:pt>
                <c:pt idx="18">
                  <c:v>23.1</c:v>
                </c:pt>
                <c:pt idx="19">
                  <c:v>14.17</c:v>
                </c:pt>
              </c:numCache>
            </c:numRef>
          </c:val>
        </c:ser>
        <c:ser>
          <c:idx val="1"/>
          <c:order val="1"/>
          <c:tx>
            <c:strRef>
              <c:f>'Зведена таблиця'!$C$3</c:f>
              <c:strCache>
                <c:ptCount val="1"/>
                <c:pt idx="0">
                  <c:v> Попит</c:v>
                </c:pt>
              </c:strCache>
            </c:strRef>
          </c:tx>
          <c:cat>
            <c:strRef>
              <c:f>'Зведена таблиця'!$A$4:$A$24</c:f>
              <c:strCache>
                <c:ptCount val="20"/>
                <c:pt idx="0">
                  <c:v>Bond</c:v>
                </c:pt>
                <c:pt idx="1">
                  <c:v>Camel</c:v>
                </c:pt>
                <c:pt idx="2">
                  <c:v>Chesterfield</c:v>
                </c:pt>
                <c:pt idx="3">
                  <c:v>Davidoff</c:v>
                </c:pt>
                <c:pt idx="4">
                  <c:v>Glamour</c:v>
                </c:pt>
                <c:pt idx="5">
                  <c:v>Kent</c:v>
                </c:pt>
                <c:pt idx="6">
                  <c:v>Kiss</c:v>
                </c:pt>
                <c:pt idx="7">
                  <c:v>L&amp;D</c:v>
                </c:pt>
                <c:pt idx="8">
                  <c:v>L&amp;M</c:v>
                </c:pt>
                <c:pt idx="9">
                  <c:v>Marlboro</c:v>
                </c:pt>
                <c:pt idx="10">
                  <c:v>Monte Carlo</c:v>
                </c:pt>
                <c:pt idx="11">
                  <c:v>Muratti</c:v>
                </c:pt>
                <c:pt idx="12">
                  <c:v>NEXT</c:v>
                </c:pt>
                <c:pt idx="13">
                  <c:v>Parliament</c:v>
                </c:pt>
                <c:pt idx="14">
                  <c:v>Rothmans</c:v>
                </c:pt>
                <c:pt idx="15">
                  <c:v>Sobranie</c:v>
                </c:pt>
                <c:pt idx="16">
                  <c:v>Style</c:v>
                </c:pt>
                <c:pt idx="17">
                  <c:v>West</c:v>
                </c:pt>
                <c:pt idx="18">
                  <c:v>Winston</c:v>
                </c:pt>
                <c:pt idx="19">
                  <c:v>Прилуки</c:v>
                </c:pt>
              </c:strCache>
            </c:strRef>
          </c:cat>
          <c:val>
            <c:numRef>
              <c:f>'Зведена таблиця'!$C$4:$C$24</c:f>
              <c:numCache>
                <c:formatCode>0%</c:formatCode>
                <c:ptCount val="20"/>
                <c:pt idx="0">
                  <c:v>0.06</c:v>
                </c:pt>
                <c:pt idx="1">
                  <c:v>9.5000000000000001E-2</c:v>
                </c:pt>
                <c:pt idx="2">
                  <c:v>1.4999999999999999E-2</c:v>
                </c:pt>
                <c:pt idx="3">
                  <c:v>7.0000000000000001E-3</c:v>
                </c:pt>
                <c:pt idx="4">
                  <c:v>3.0000000000000001E-3</c:v>
                </c:pt>
                <c:pt idx="5">
                  <c:v>0.08</c:v>
                </c:pt>
                <c:pt idx="6">
                  <c:v>6.0000000000000001E-3</c:v>
                </c:pt>
                <c:pt idx="7">
                  <c:v>4.4999999999999998E-2</c:v>
                </c:pt>
                <c:pt idx="8">
                  <c:v>0.08</c:v>
                </c:pt>
                <c:pt idx="9">
                  <c:v>0.14000000000000001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0.105</c:v>
                </c:pt>
                <c:pt idx="14">
                  <c:v>0.06</c:v>
                </c:pt>
                <c:pt idx="15">
                  <c:v>5.5E-2</c:v>
                </c:pt>
                <c:pt idx="16">
                  <c:v>5.0000000000000001E-3</c:v>
                </c:pt>
                <c:pt idx="17">
                  <c:v>4.0000000000000001E-3</c:v>
                </c:pt>
                <c:pt idx="18">
                  <c:v>0.12</c:v>
                </c:pt>
                <c:pt idx="19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'Зведена таблиця'!$D$3</c:f>
              <c:strCache>
                <c:ptCount val="1"/>
                <c:pt idx="0">
                  <c:v> Дохід</c:v>
                </c:pt>
              </c:strCache>
            </c:strRef>
          </c:tx>
          <c:cat>
            <c:strRef>
              <c:f>'Зведена таблиця'!$A$4:$A$24</c:f>
              <c:strCache>
                <c:ptCount val="20"/>
                <c:pt idx="0">
                  <c:v>Bond</c:v>
                </c:pt>
                <c:pt idx="1">
                  <c:v>Camel</c:v>
                </c:pt>
                <c:pt idx="2">
                  <c:v>Chesterfield</c:v>
                </c:pt>
                <c:pt idx="3">
                  <c:v>Davidoff</c:v>
                </c:pt>
                <c:pt idx="4">
                  <c:v>Glamour</c:v>
                </c:pt>
                <c:pt idx="5">
                  <c:v>Kent</c:v>
                </c:pt>
                <c:pt idx="6">
                  <c:v>Kiss</c:v>
                </c:pt>
                <c:pt idx="7">
                  <c:v>L&amp;D</c:v>
                </c:pt>
                <c:pt idx="8">
                  <c:v>L&amp;M</c:v>
                </c:pt>
                <c:pt idx="9">
                  <c:v>Marlboro</c:v>
                </c:pt>
                <c:pt idx="10">
                  <c:v>Monte Carlo</c:v>
                </c:pt>
                <c:pt idx="11">
                  <c:v>Muratti</c:v>
                </c:pt>
                <c:pt idx="12">
                  <c:v>NEXT</c:v>
                </c:pt>
                <c:pt idx="13">
                  <c:v>Parliament</c:v>
                </c:pt>
                <c:pt idx="14">
                  <c:v>Rothmans</c:v>
                </c:pt>
                <c:pt idx="15">
                  <c:v>Sobranie</c:v>
                </c:pt>
                <c:pt idx="16">
                  <c:v>Style</c:v>
                </c:pt>
                <c:pt idx="17">
                  <c:v>West</c:v>
                </c:pt>
                <c:pt idx="18">
                  <c:v>Winston</c:v>
                </c:pt>
                <c:pt idx="19">
                  <c:v>Прилуки</c:v>
                </c:pt>
              </c:strCache>
            </c:strRef>
          </c:cat>
          <c:val>
            <c:numRef>
              <c:f>'Зведена таблиця'!$D$4:$D$24</c:f>
              <c:numCache>
                <c:formatCode>General</c:formatCode>
                <c:ptCount val="20"/>
                <c:pt idx="0">
                  <c:v>15.31</c:v>
                </c:pt>
                <c:pt idx="1">
                  <c:v>23.715</c:v>
                </c:pt>
                <c:pt idx="2">
                  <c:v>22.585000000000001</c:v>
                </c:pt>
                <c:pt idx="3">
                  <c:v>23.017000000000003</c:v>
                </c:pt>
                <c:pt idx="4">
                  <c:v>21.523</c:v>
                </c:pt>
                <c:pt idx="5">
                  <c:v>22.13</c:v>
                </c:pt>
                <c:pt idx="6">
                  <c:v>24.606000000000002</c:v>
                </c:pt>
                <c:pt idx="7">
                  <c:v>15.244999999999999</c:v>
                </c:pt>
                <c:pt idx="8">
                  <c:v>18.979999999999997</c:v>
                </c:pt>
                <c:pt idx="9">
                  <c:v>25.34</c:v>
                </c:pt>
                <c:pt idx="10">
                  <c:v>17.87</c:v>
                </c:pt>
                <c:pt idx="11">
                  <c:v>21.54</c:v>
                </c:pt>
                <c:pt idx="12">
                  <c:v>16.830000000000002</c:v>
                </c:pt>
                <c:pt idx="13">
                  <c:v>29.504999999999999</c:v>
                </c:pt>
                <c:pt idx="14">
                  <c:v>17.91</c:v>
                </c:pt>
                <c:pt idx="15">
                  <c:v>31.024999999999999</c:v>
                </c:pt>
                <c:pt idx="16">
                  <c:v>23.564999999999998</c:v>
                </c:pt>
                <c:pt idx="17">
                  <c:v>13.593999999999999</c:v>
                </c:pt>
                <c:pt idx="18">
                  <c:v>23.220000000000002</c:v>
                </c:pt>
                <c:pt idx="19">
                  <c:v>14.22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'Статистичний звіт'!$K$6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multiLvlStrRef>
              <c:f>'Статистичний звіт'!$I$7:$J$10</c:f>
              <c:multiLvlStrCache>
                <c:ptCount val="4"/>
                <c:lvl>
                  <c:pt idx="0">
                    <c:v> 17,94 UAH </c:v>
                  </c:pt>
                  <c:pt idx="1">
                    <c:v> 22,28 UAH </c:v>
                  </c:pt>
                  <c:pt idx="2">
                    <c:v> 26,63 UAH </c:v>
                  </c:pt>
                  <c:pt idx="3">
                    <c:v> 30,97 UAH </c:v>
                  </c:pt>
                </c:lvl>
                <c:lvl>
                  <c:pt idx="0">
                    <c:v> 13,59 UAH </c:v>
                  </c:pt>
                  <c:pt idx="1">
                    <c:v> 17,94 UAH </c:v>
                  </c:pt>
                  <c:pt idx="2">
                    <c:v> 22,28 UAH </c:v>
                  </c:pt>
                  <c:pt idx="3">
                    <c:v> 26,63 UAH </c:v>
                  </c:pt>
                </c:lvl>
              </c:multiLvlStrCache>
            </c:multiLvlStrRef>
          </c:cat>
          <c:val>
            <c:numRef>
              <c:f>'Статистичний звіт'!$K$7:$K$10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121920"/>
        <c:axId val="131123456"/>
      </c:barChart>
      <c:catAx>
        <c:axId val="13112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123456"/>
        <c:crosses val="autoZero"/>
        <c:auto val="1"/>
        <c:lblAlgn val="ctr"/>
        <c:lblOffset val="100"/>
        <c:noMultiLvlLbl val="0"/>
      </c:catAx>
      <c:valAx>
        <c:axId val="1311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12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'База даних'!$C$1</c:f>
              <c:strCache>
                <c:ptCount val="1"/>
                <c:pt idx="0">
                  <c:v>Ціна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'База даних'!$C$2:$C$21</c:f>
              <c:numCache>
                <c:formatCode>_-* #,##0.00\ [$UAH]_-;\-* #,##0.00\ [$UAH]_-;_-* "-"??\ [$UAH]_-;_-@_-</c:formatCode>
                <c:ptCount val="20"/>
                <c:pt idx="0">
                  <c:v>25.2</c:v>
                </c:pt>
                <c:pt idx="1">
                  <c:v>23.1</c:v>
                </c:pt>
                <c:pt idx="2">
                  <c:v>30.97</c:v>
                </c:pt>
                <c:pt idx="3">
                  <c:v>18.899999999999999</c:v>
                </c:pt>
                <c:pt idx="4">
                  <c:v>15.2</c:v>
                </c:pt>
                <c:pt idx="5">
                  <c:v>29.4</c:v>
                </c:pt>
                <c:pt idx="6">
                  <c:v>24.6</c:v>
                </c:pt>
                <c:pt idx="7">
                  <c:v>23.56</c:v>
                </c:pt>
                <c:pt idx="8">
                  <c:v>17.850000000000001</c:v>
                </c:pt>
                <c:pt idx="9">
                  <c:v>15.25</c:v>
                </c:pt>
                <c:pt idx="10">
                  <c:v>17.850000000000001</c:v>
                </c:pt>
                <c:pt idx="11">
                  <c:v>23.62</c:v>
                </c:pt>
                <c:pt idx="12">
                  <c:v>21.52</c:v>
                </c:pt>
                <c:pt idx="13">
                  <c:v>22.05</c:v>
                </c:pt>
                <c:pt idx="14">
                  <c:v>23.01</c:v>
                </c:pt>
                <c:pt idx="15">
                  <c:v>21.52</c:v>
                </c:pt>
                <c:pt idx="16">
                  <c:v>13.59</c:v>
                </c:pt>
                <c:pt idx="17">
                  <c:v>22.57</c:v>
                </c:pt>
                <c:pt idx="18">
                  <c:v>14.17</c:v>
                </c:pt>
                <c:pt idx="19">
                  <c:v>16.8</c:v>
                </c:pt>
              </c:numCache>
            </c:numRef>
          </c:xVal>
          <c:yVal>
            <c:numRef>
              <c:f>'База даних'!$F$2:$F$21</c:f>
              <c:numCache>
                <c:formatCode>0.0%</c:formatCode>
                <c:ptCount val="20"/>
                <c:pt idx="0">
                  <c:v>0.14000000000000001</c:v>
                </c:pt>
                <c:pt idx="1">
                  <c:v>0.12</c:v>
                </c:pt>
                <c:pt idx="2">
                  <c:v>5.5E-2</c:v>
                </c:pt>
                <c:pt idx="3">
                  <c:v>0.08</c:v>
                </c:pt>
                <c:pt idx="4">
                  <c:v>4.4999999999999998E-2</c:v>
                </c:pt>
                <c:pt idx="5">
                  <c:v>0.105</c:v>
                </c:pt>
                <c:pt idx="6">
                  <c:v>6.0000000000000001E-3</c:v>
                </c:pt>
                <c:pt idx="7">
                  <c:v>5.0000000000000001E-3</c:v>
                </c:pt>
                <c:pt idx="8">
                  <c:v>0.02</c:v>
                </c:pt>
                <c:pt idx="9">
                  <c:v>0.06</c:v>
                </c:pt>
                <c:pt idx="10">
                  <c:v>0.06</c:v>
                </c:pt>
                <c:pt idx="11">
                  <c:v>9.5000000000000001E-2</c:v>
                </c:pt>
                <c:pt idx="12">
                  <c:v>0.02</c:v>
                </c:pt>
                <c:pt idx="13">
                  <c:v>0.08</c:v>
                </c:pt>
                <c:pt idx="14">
                  <c:v>7.0000000000000001E-3</c:v>
                </c:pt>
                <c:pt idx="15">
                  <c:v>3.0000000000000001E-3</c:v>
                </c:pt>
                <c:pt idx="16">
                  <c:v>4.0000000000000001E-3</c:v>
                </c:pt>
                <c:pt idx="17">
                  <c:v>1.4999999999999999E-2</c:v>
                </c:pt>
                <c:pt idx="18">
                  <c:v>0.05</c:v>
                </c:pt>
                <c:pt idx="19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38720"/>
        <c:axId val="132248704"/>
      </c:scatterChart>
      <c:valAx>
        <c:axId val="13223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UAH]_-;\-* #,##0.00\ [$UAH]_-;_-* &quot;-&quot;??\ [$UAH]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248704"/>
        <c:crosses val="autoZero"/>
        <c:crossBetween val="midCat"/>
      </c:valAx>
      <c:valAx>
        <c:axId val="13224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23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13</xdr:col>
      <xdr:colOff>533399</xdr:colOff>
      <xdr:row>24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533400</xdr:colOff>
      <xdr:row>2</xdr:row>
      <xdr:rowOff>0</xdr:rowOff>
    </xdr:from>
    <xdr:to>
      <xdr:col>16</xdr:col>
      <xdr:colOff>533400</xdr:colOff>
      <xdr:row>15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Цін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Цін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91525" y="3810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552450</xdr:colOff>
      <xdr:row>2</xdr:row>
      <xdr:rowOff>9525</xdr:rowOff>
    </xdr:from>
    <xdr:to>
      <xdr:col>19</xdr:col>
      <xdr:colOff>552450</xdr:colOff>
      <xdr:row>15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Тип доставки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доставки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39375" y="3905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866774</xdr:colOff>
      <xdr:row>10</xdr:row>
      <xdr:rowOff>180975</xdr:rowOff>
    </xdr:from>
    <xdr:to>
      <xdr:col>11</xdr:col>
      <xdr:colOff>790574</xdr:colOff>
      <xdr:row>25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</xdr:row>
      <xdr:rowOff>28574</xdr:rowOff>
    </xdr:from>
    <xdr:to>
      <xdr:col>3</xdr:col>
      <xdr:colOff>590549</xdr:colOff>
      <xdr:row>23</xdr:row>
      <xdr:rowOff>100011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sit01" refreshedDate="42661.661777430556" createdVersion="4" refreshedVersion="4" minRefreshableVersion="3" recordCount="20">
  <cacheSource type="worksheet">
    <worksheetSource ref="A1:F21" sheet="База даних"/>
  </cacheSource>
  <cacheFields count="7">
    <cacheField name="Товар: цигарки" numFmtId="0">
      <sharedItems count="20">
        <s v="Marlboro"/>
        <s v="Winston"/>
        <s v="Sobranie"/>
        <s v="L&amp;M"/>
        <s v="L&amp;D"/>
        <s v="Parliament"/>
        <s v="Kiss"/>
        <s v="Style"/>
        <s v="Monte Carlo"/>
        <s v="Bond"/>
        <s v="Rothmans"/>
        <s v="Camel"/>
        <s v="Muratti"/>
        <s v="Kent"/>
        <s v="Davidoff"/>
        <s v="Glamour"/>
        <s v="West"/>
        <s v="Chesterfield"/>
        <s v="Прилуки"/>
        <s v="NEXT"/>
      </sharedItems>
    </cacheField>
    <cacheField name="Постачальник" numFmtId="0">
      <sharedItems count="5">
        <s v="Харківська фабрика по виготовленню цигарок"/>
        <s v="Київська фабрика по виготовленню цигарок"/>
        <s v="Сумська фабрика по виготовленню цигарок"/>
        <s v="Запорізька фабрика по виготовленню цигарок"/>
        <s v="Донецька фабрика по виготовленню цигарок"/>
      </sharedItems>
    </cacheField>
    <cacheField name="Ціна" numFmtId="165">
      <sharedItems containsSemiMixedTypes="0" containsString="0" containsNumber="1" minValue="13.59" maxValue="30.97" count="18">
        <n v="25.2"/>
        <n v="23.1"/>
        <n v="30.97"/>
        <n v="18.899999999999999"/>
        <n v="15.2"/>
        <n v="29.4"/>
        <n v="24.6"/>
        <n v="23.56"/>
        <n v="17.850000000000001"/>
        <n v="15.25"/>
        <n v="23.62"/>
        <n v="21.52"/>
        <n v="22.05"/>
        <n v="23.01"/>
        <n v="13.59"/>
        <n v="22.57"/>
        <n v="14.17"/>
        <n v="16.8"/>
      </sharedItems>
    </cacheField>
    <cacheField name="Тип доставки" numFmtId="0">
      <sharedItems count="3">
        <s v="пошта"/>
        <s v="автолюкс"/>
        <s v="кур'єр"/>
      </sharedItems>
    </cacheField>
    <cacheField name="Час доставки" numFmtId="0">
      <sharedItems/>
    </cacheField>
    <cacheField name="Попит" numFmtId="164">
      <sharedItems containsSemiMixedTypes="0" containsString="0" containsNumber="1" minValue="3.0000000000000001E-3" maxValue="0.14000000000000001"/>
    </cacheField>
    <cacheField name="Дохід" numFmtId="0" formula="Ціна +Попит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  <s v="5 днів"/>
    <n v="0.14000000000000001"/>
  </r>
  <r>
    <x v="1"/>
    <x v="0"/>
    <x v="1"/>
    <x v="1"/>
    <s v="2 дні"/>
    <n v="0.12"/>
  </r>
  <r>
    <x v="2"/>
    <x v="1"/>
    <x v="2"/>
    <x v="2"/>
    <s v="3-5 годин"/>
    <n v="5.5E-2"/>
  </r>
  <r>
    <x v="3"/>
    <x v="0"/>
    <x v="3"/>
    <x v="0"/>
    <s v="5 днів"/>
    <n v="0.08"/>
  </r>
  <r>
    <x v="4"/>
    <x v="1"/>
    <x v="4"/>
    <x v="2"/>
    <s v="3-5 годин"/>
    <n v="4.4999999999999998E-2"/>
  </r>
  <r>
    <x v="5"/>
    <x v="0"/>
    <x v="5"/>
    <x v="1"/>
    <s v="2 дні"/>
    <n v="0.105"/>
  </r>
  <r>
    <x v="6"/>
    <x v="0"/>
    <x v="6"/>
    <x v="0"/>
    <s v="5 днів"/>
    <n v="6.0000000000000001E-3"/>
  </r>
  <r>
    <x v="7"/>
    <x v="2"/>
    <x v="7"/>
    <x v="2"/>
    <s v="3-5 годин"/>
    <n v="5.0000000000000001E-3"/>
  </r>
  <r>
    <x v="8"/>
    <x v="2"/>
    <x v="8"/>
    <x v="1"/>
    <s v="3-5 годин"/>
    <n v="0.02"/>
  </r>
  <r>
    <x v="9"/>
    <x v="0"/>
    <x v="9"/>
    <x v="0"/>
    <s v="5 днів"/>
    <n v="0.06"/>
  </r>
  <r>
    <x v="10"/>
    <x v="3"/>
    <x v="8"/>
    <x v="2"/>
    <s v="3-5 годин"/>
    <n v="0.06"/>
  </r>
  <r>
    <x v="11"/>
    <x v="0"/>
    <x v="10"/>
    <x v="0"/>
    <s v="5 днів"/>
    <n v="9.5000000000000001E-2"/>
  </r>
  <r>
    <x v="12"/>
    <x v="4"/>
    <x v="11"/>
    <x v="2"/>
    <s v="12 годин"/>
    <n v="0.02"/>
  </r>
  <r>
    <x v="13"/>
    <x v="4"/>
    <x v="12"/>
    <x v="2"/>
    <s v="12 годин"/>
    <n v="0.08"/>
  </r>
  <r>
    <x v="14"/>
    <x v="0"/>
    <x v="13"/>
    <x v="0"/>
    <s v="5 днів"/>
    <n v="7.0000000000000001E-3"/>
  </r>
  <r>
    <x v="15"/>
    <x v="0"/>
    <x v="11"/>
    <x v="0"/>
    <s v="5 днів"/>
    <n v="3.0000000000000001E-3"/>
  </r>
  <r>
    <x v="16"/>
    <x v="0"/>
    <x v="14"/>
    <x v="1"/>
    <s v="2 дні"/>
    <n v="4.0000000000000001E-3"/>
  </r>
  <r>
    <x v="17"/>
    <x v="3"/>
    <x v="15"/>
    <x v="2"/>
    <s v="3-5 годин"/>
    <n v="1.4999999999999999E-2"/>
  </r>
  <r>
    <x v="18"/>
    <x v="0"/>
    <x v="16"/>
    <x v="0"/>
    <s v="5 днів"/>
    <n v="0.05"/>
  </r>
  <r>
    <x v="19"/>
    <x v="1"/>
    <x v="17"/>
    <x v="2"/>
    <s v="3-5 годин"/>
    <n v="0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 таблиця" cacheId="28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 chartFormat="1" rowHeaderCaption="Цигарки">
  <location ref="A3:D24" firstHeaderRow="0" firstDataRow="1" firstDataCol="1" rowPageCount="1" colPageCount="1"/>
  <pivotFields count="7">
    <pivotField axis="axisRow" showAll="0">
      <items count="21">
        <item x="9"/>
        <item x="11"/>
        <item x="17"/>
        <item x="14"/>
        <item x="15"/>
        <item x="13"/>
        <item x="6"/>
        <item x="4"/>
        <item x="3"/>
        <item x="0"/>
        <item x="8"/>
        <item x="12"/>
        <item x="19"/>
        <item x="5"/>
        <item x="10"/>
        <item x="2"/>
        <item x="7"/>
        <item x="16"/>
        <item x="1"/>
        <item x="18"/>
        <item t="default"/>
      </items>
    </pivotField>
    <pivotField axis="axisPage" multipleItemSelectionAllowed="1" showAll="0">
      <items count="6">
        <item x="4"/>
        <item x="3"/>
        <item x="1"/>
        <item x="2"/>
        <item x="0"/>
        <item t="default"/>
      </items>
    </pivotField>
    <pivotField dataField="1" numFmtId="165" showAll="0">
      <items count="19">
        <item x="14"/>
        <item x="16"/>
        <item x="4"/>
        <item x="9"/>
        <item x="17"/>
        <item x="8"/>
        <item x="3"/>
        <item x="11"/>
        <item x="12"/>
        <item x="15"/>
        <item x="13"/>
        <item x="1"/>
        <item x="7"/>
        <item x="10"/>
        <item x="6"/>
        <item x="0"/>
        <item x="5"/>
        <item x="2"/>
        <item t="default"/>
      </items>
    </pivotField>
    <pivotField showAll="0">
      <items count="4">
        <item x="1"/>
        <item x="2"/>
        <item x="0"/>
        <item t="default"/>
      </items>
    </pivotField>
    <pivotField showAll="0"/>
    <pivotField dataField="1" numFmtId="164" showAll="0"/>
    <pivotField dataField="1" dragToRow="0" dragToCol="0" dragToPage="0" showAll="0" defaultSubtota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Ціна" fld="2" baseField="0" baseItem="0"/>
    <dataField name=" Попит" fld="5" baseField="0" baseItem="0"/>
    <dataField name=" Дохід" fld="6" baseField="0" baseItem="0"/>
  </dataFields>
  <formats count="1">
    <format dxfId="19">
      <pivotArea dataOnly="0" outline="0" fieldPosition="0">
        <references count="1">
          <reference field="4294967294" count="1">
            <x v="1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Ціна" sourceName="Ціна">
  <pivotTables>
    <pivotTable tabId="4" name="Зведена таблиця"/>
  </pivotTables>
  <data>
    <tabular pivotCacheId="1">
      <items count="18">
        <i x="14" s="1"/>
        <i x="16" s="1"/>
        <i x="4" s="1"/>
        <i x="9" s="1"/>
        <i x="17" s="1"/>
        <i x="8" s="1"/>
        <i x="3" s="1"/>
        <i x="11" s="1"/>
        <i x="12" s="1"/>
        <i x="15" s="1"/>
        <i x="13" s="1"/>
        <i x="1" s="1"/>
        <i x="7" s="1"/>
        <i x="10" s="1"/>
        <i x="6" s="1"/>
        <i x="0" s="1"/>
        <i x="5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ип_доставки" sourceName="Тип доставки">
  <pivotTables>
    <pivotTable tabId="4" name="Зведена таблиця"/>
  </pivotTables>
  <data>
    <tabular pivotCacheId="1">
      <items count="3">
        <i x="1" s="1"/>
        <i x="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Ціна" cache="Срез_Ціна" caption="Ціна" rowHeight="241300"/>
  <slicer name="Тип доставки" cache="Срез_Тип_доставки" caption="Тип доставки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3" sqref="A3"/>
    </sheetView>
  </sheetViews>
  <sheetFormatPr defaultRowHeight="15" x14ac:dyDescent="0.25"/>
  <cols>
    <col min="1" max="1" width="13.7109375" customWidth="1"/>
    <col min="2" max="2" width="7.85546875" bestFit="1" customWidth="1"/>
    <col min="3" max="4" width="7" customWidth="1"/>
  </cols>
  <sheetData>
    <row r="1" spans="1:4" x14ac:dyDescent="0.25">
      <c r="A1" s="8" t="s">
        <v>4</v>
      </c>
      <c r="B1" t="s">
        <v>78</v>
      </c>
    </row>
    <row r="3" spans="1:4" x14ac:dyDescent="0.25">
      <c r="A3" s="8" t="s">
        <v>82</v>
      </c>
      <c r="B3" t="s">
        <v>80</v>
      </c>
      <c r="C3" s="11" t="s">
        <v>81</v>
      </c>
      <c r="D3" t="s">
        <v>83</v>
      </c>
    </row>
    <row r="4" spans="1:4" x14ac:dyDescent="0.25">
      <c r="A4" s="10" t="s">
        <v>14</v>
      </c>
      <c r="B4" s="9">
        <v>15.25</v>
      </c>
      <c r="C4" s="11">
        <v>0.06</v>
      </c>
      <c r="D4" s="9">
        <v>15.31</v>
      </c>
    </row>
    <row r="5" spans="1:4" x14ac:dyDescent="0.25">
      <c r="A5" s="10" t="s">
        <v>16</v>
      </c>
      <c r="B5" s="9">
        <v>23.62</v>
      </c>
      <c r="C5" s="11">
        <v>9.5000000000000001E-2</v>
      </c>
      <c r="D5" s="9">
        <v>23.715</v>
      </c>
    </row>
    <row r="6" spans="1:4" x14ac:dyDescent="0.25">
      <c r="A6" s="10" t="s">
        <v>23</v>
      </c>
      <c r="B6" s="9">
        <v>22.57</v>
      </c>
      <c r="C6" s="11">
        <v>1.4999999999999999E-2</v>
      </c>
      <c r="D6" s="9">
        <v>22.585000000000001</v>
      </c>
    </row>
    <row r="7" spans="1:4" x14ac:dyDescent="0.25">
      <c r="A7" s="10" t="s">
        <v>20</v>
      </c>
      <c r="B7" s="9">
        <v>23.01</v>
      </c>
      <c r="C7" s="11">
        <v>7.0000000000000001E-3</v>
      </c>
      <c r="D7" s="9">
        <v>23.017000000000003</v>
      </c>
    </row>
    <row r="8" spans="1:4" x14ac:dyDescent="0.25">
      <c r="A8" s="10" t="s">
        <v>21</v>
      </c>
      <c r="B8" s="9">
        <v>21.52</v>
      </c>
      <c r="C8" s="11">
        <v>3.0000000000000001E-3</v>
      </c>
      <c r="D8" s="9">
        <v>21.523</v>
      </c>
    </row>
    <row r="9" spans="1:4" x14ac:dyDescent="0.25">
      <c r="A9" s="10" t="s">
        <v>19</v>
      </c>
      <c r="B9" s="9">
        <v>22.05</v>
      </c>
      <c r="C9" s="11">
        <v>0.08</v>
      </c>
      <c r="D9" s="9">
        <v>22.13</v>
      </c>
    </row>
    <row r="10" spans="1:4" x14ac:dyDescent="0.25">
      <c r="A10" s="10" t="s">
        <v>11</v>
      </c>
      <c r="B10" s="9">
        <v>24.6</v>
      </c>
      <c r="C10" s="11">
        <v>6.0000000000000001E-3</v>
      </c>
      <c r="D10" s="9">
        <v>24.606000000000002</v>
      </c>
    </row>
    <row r="11" spans="1:4" x14ac:dyDescent="0.25">
      <c r="A11" s="10" t="s">
        <v>10</v>
      </c>
      <c r="B11" s="9">
        <v>15.2</v>
      </c>
      <c r="C11" s="11">
        <v>4.4999999999999998E-2</v>
      </c>
      <c r="D11" s="9">
        <v>15.244999999999999</v>
      </c>
    </row>
    <row r="12" spans="1:4" x14ac:dyDescent="0.25">
      <c r="A12" s="10" t="s">
        <v>9</v>
      </c>
      <c r="B12" s="9">
        <v>18.899999999999999</v>
      </c>
      <c r="C12" s="11">
        <v>0.08</v>
      </c>
      <c r="D12" s="9">
        <v>18.979999999999997</v>
      </c>
    </row>
    <row r="13" spans="1:4" x14ac:dyDescent="0.25">
      <c r="A13" s="10" t="s">
        <v>6</v>
      </c>
      <c r="B13" s="9">
        <v>25.2</v>
      </c>
      <c r="C13" s="11">
        <v>0.14000000000000001</v>
      </c>
      <c r="D13" s="9">
        <v>25.34</v>
      </c>
    </row>
    <row r="14" spans="1:4" x14ac:dyDescent="0.25">
      <c r="A14" s="10" t="s">
        <v>13</v>
      </c>
      <c r="B14" s="9">
        <v>17.850000000000001</v>
      </c>
      <c r="C14" s="11">
        <v>0.02</v>
      </c>
      <c r="D14" s="9">
        <v>17.87</v>
      </c>
    </row>
    <row r="15" spans="1:4" x14ac:dyDescent="0.25">
      <c r="A15" s="10" t="s">
        <v>18</v>
      </c>
      <c r="B15" s="9">
        <v>21.52</v>
      </c>
      <c r="C15" s="11">
        <v>0.02</v>
      </c>
      <c r="D15" s="9">
        <v>21.54</v>
      </c>
    </row>
    <row r="16" spans="1:4" x14ac:dyDescent="0.25">
      <c r="A16" s="10" t="s">
        <v>25</v>
      </c>
      <c r="B16" s="9">
        <v>16.8</v>
      </c>
      <c r="C16" s="11">
        <v>0.03</v>
      </c>
      <c r="D16" s="9">
        <v>16.830000000000002</v>
      </c>
    </row>
    <row r="17" spans="1:4" x14ac:dyDescent="0.25">
      <c r="A17" s="10" t="s">
        <v>17</v>
      </c>
      <c r="B17" s="9">
        <v>29.4</v>
      </c>
      <c r="C17" s="11">
        <v>0.105</v>
      </c>
      <c r="D17" s="9">
        <v>29.504999999999999</v>
      </c>
    </row>
    <row r="18" spans="1:4" x14ac:dyDescent="0.25">
      <c r="A18" s="10" t="s">
        <v>15</v>
      </c>
      <c r="B18" s="9">
        <v>17.850000000000001</v>
      </c>
      <c r="C18" s="11">
        <v>0.06</v>
      </c>
      <c r="D18" s="9">
        <v>17.91</v>
      </c>
    </row>
    <row r="19" spans="1:4" x14ac:dyDescent="0.25">
      <c r="A19" s="10" t="s">
        <v>8</v>
      </c>
      <c r="B19" s="9">
        <v>30.97</v>
      </c>
      <c r="C19" s="11">
        <v>5.5E-2</v>
      </c>
      <c r="D19" s="9">
        <v>31.024999999999999</v>
      </c>
    </row>
    <row r="20" spans="1:4" x14ac:dyDescent="0.25">
      <c r="A20" s="10" t="s">
        <v>12</v>
      </c>
      <c r="B20" s="9">
        <v>23.56</v>
      </c>
      <c r="C20" s="11">
        <v>5.0000000000000001E-3</v>
      </c>
      <c r="D20" s="9">
        <v>23.564999999999998</v>
      </c>
    </row>
    <row r="21" spans="1:4" x14ac:dyDescent="0.25">
      <c r="A21" s="10" t="s">
        <v>22</v>
      </c>
      <c r="B21" s="9">
        <v>13.59</v>
      </c>
      <c r="C21" s="11">
        <v>4.0000000000000001E-3</v>
      </c>
      <c r="D21" s="9">
        <v>13.593999999999999</v>
      </c>
    </row>
    <row r="22" spans="1:4" x14ac:dyDescent="0.25">
      <c r="A22" s="10" t="s">
        <v>7</v>
      </c>
      <c r="B22" s="9">
        <v>23.1</v>
      </c>
      <c r="C22" s="11">
        <v>0.12</v>
      </c>
      <c r="D22" s="9">
        <v>23.220000000000002</v>
      </c>
    </row>
    <row r="23" spans="1:4" x14ac:dyDescent="0.25">
      <c r="A23" s="10" t="s">
        <v>24</v>
      </c>
      <c r="B23" s="9">
        <v>14.17</v>
      </c>
      <c r="C23" s="11">
        <v>0.05</v>
      </c>
      <c r="D23" s="9">
        <v>14.22</v>
      </c>
    </row>
    <row r="24" spans="1:4" x14ac:dyDescent="0.25">
      <c r="A24" s="10" t="s">
        <v>79</v>
      </c>
      <c r="B24" s="9">
        <v>420.72999999999996</v>
      </c>
      <c r="C24" s="11">
        <v>1</v>
      </c>
      <c r="D24" s="9">
        <v>421.72999999999996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opLeftCell="A67" workbookViewId="0">
      <selection activeCell="B31" sqref="B31"/>
    </sheetView>
  </sheetViews>
  <sheetFormatPr defaultRowHeight="15" x14ac:dyDescent="0.25"/>
  <cols>
    <col min="1" max="1" width="15.28515625" bestFit="1" customWidth="1"/>
    <col min="2" max="2" width="44" bestFit="1" customWidth="1"/>
    <col min="3" max="3" width="12" bestFit="1" customWidth="1"/>
    <col min="4" max="4" width="13.140625" bestFit="1" customWidth="1"/>
    <col min="5" max="5" width="12.85546875" bestFit="1" customWidth="1"/>
    <col min="6" max="6" width="13.42578125" bestFit="1" customWidth="1"/>
    <col min="7" max="7" width="12" bestFit="1" customWidth="1"/>
    <col min="8" max="26" width="11.28515625" bestFit="1" customWidth="1"/>
  </cols>
  <sheetData>
    <row r="1" spans="1:7" x14ac:dyDescent="0.25">
      <c r="A1" s="1" t="s">
        <v>5</v>
      </c>
      <c r="B1" s="1" t="s">
        <v>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7" x14ac:dyDescent="0.25">
      <c r="A2" t="s">
        <v>6</v>
      </c>
      <c r="B2" t="s">
        <v>26</v>
      </c>
      <c r="C2" s="5">
        <v>25.2</v>
      </c>
      <c r="D2" s="2" t="s">
        <v>84</v>
      </c>
      <c r="E2" s="2" t="s">
        <v>86</v>
      </c>
      <c r="F2" s="3">
        <v>0.14000000000000001</v>
      </c>
    </row>
    <row r="3" spans="1:7" x14ac:dyDescent="0.25">
      <c r="A3" t="s">
        <v>7</v>
      </c>
      <c r="B3" t="s">
        <v>26</v>
      </c>
      <c r="C3" s="5">
        <v>23.1</v>
      </c>
      <c r="D3" s="2" t="s">
        <v>85</v>
      </c>
      <c r="E3" s="2" t="s">
        <v>87</v>
      </c>
      <c r="F3" s="3">
        <v>0.12</v>
      </c>
    </row>
    <row r="4" spans="1:7" x14ac:dyDescent="0.25">
      <c r="A4" t="s">
        <v>8</v>
      </c>
      <c r="B4" t="s">
        <v>71</v>
      </c>
      <c r="C4" s="5">
        <v>30.97</v>
      </c>
      <c r="D4" s="2" t="s">
        <v>27</v>
      </c>
      <c r="E4" s="2" t="s">
        <v>28</v>
      </c>
      <c r="F4" s="3">
        <v>5.5E-2</v>
      </c>
    </row>
    <row r="5" spans="1:7" x14ac:dyDescent="0.25">
      <c r="A5" t="s">
        <v>9</v>
      </c>
      <c r="B5" t="s">
        <v>26</v>
      </c>
      <c r="C5" s="5">
        <v>18.899999999999999</v>
      </c>
      <c r="D5" s="2" t="s">
        <v>84</v>
      </c>
      <c r="E5" s="2" t="s">
        <v>86</v>
      </c>
      <c r="F5" s="3">
        <v>0.08</v>
      </c>
    </row>
    <row r="6" spans="1:7" x14ac:dyDescent="0.25">
      <c r="A6" t="s">
        <v>10</v>
      </c>
      <c r="B6" t="s">
        <v>71</v>
      </c>
      <c r="C6" s="5">
        <v>15.2</v>
      </c>
      <c r="D6" s="2" t="s">
        <v>27</v>
      </c>
      <c r="E6" s="2" t="s">
        <v>28</v>
      </c>
      <c r="F6" s="3">
        <v>4.4999999999999998E-2</v>
      </c>
    </row>
    <row r="7" spans="1:7" x14ac:dyDescent="0.25">
      <c r="A7" t="s">
        <v>17</v>
      </c>
      <c r="B7" t="s">
        <v>26</v>
      </c>
      <c r="C7" s="5">
        <v>29.4</v>
      </c>
      <c r="D7" s="2" t="s">
        <v>85</v>
      </c>
      <c r="E7" s="2" t="s">
        <v>87</v>
      </c>
      <c r="F7" s="3">
        <v>0.105</v>
      </c>
    </row>
    <row r="8" spans="1:7" x14ac:dyDescent="0.25">
      <c r="A8" t="s">
        <v>11</v>
      </c>
      <c r="B8" t="s">
        <v>26</v>
      </c>
      <c r="C8" s="5">
        <v>24.6</v>
      </c>
      <c r="D8" s="2" t="s">
        <v>84</v>
      </c>
      <c r="E8" s="2" t="s">
        <v>86</v>
      </c>
      <c r="F8" s="3">
        <v>6.0000000000000001E-3</v>
      </c>
      <c r="G8" s="4"/>
    </row>
    <row r="9" spans="1:7" x14ac:dyDescent="0.25">
      <c r="A9" t="s">
        <v>12</v>
      </c>
      <c r="B9" t="s">
        <v>72</v>
      </c>
      <c r="C9" s="5">
        <v>23.56</v>
      </c>
      <c r="D9" s="2" t="s">
        <v>27</v>
      </c>
      <c r="E9" s="2" t="s">
        <v>28</v>
      </c>
      <c r="F9" s="3">
        <v>5.0000000000000001E-3</v>
      </c>
    </row>
    <row r="10" spans="1:7" x14ac:dyDescent="0.25">
      <c r="A10" t="s">
        <v>13</v>
      </c>
      <c r="B10" t="s">
        <v>72</v>
      </c>
      <c r="C10" s="5">
        <v>17.850000000000001</v>
      </c>
      <c r="D10" s="2" t="s">
        <v>85</v>
      </c>
      <c r="E10" s="2" t="s">
        <v>28</v>
      </c>
      <c r="F10" s="3">
        <v>0.02</v>
      </c>
    </row>
    <row r="11" spans="1:7" x14ac:dyDescent="0.25">
      <c r="A11" t="s">
        <v>14</v>
      </c>
      <c r="B11" t="s">
        <v>26</v>
      </c>
      <c r="C11" s="5">
        <v>15.25</v>
      </c>
      <c r="D11" s="2" t="s">
        <v>84</v>
      </c>
      <c r="E11" s="2" t="s">
        <v>86</v>
      </c>
      <c r="F11" s="3">
        <v>0.06</v>
      </c>
    </row>
    <row r="12" spans="1:7" x14ac:dyDescent="0.25">
      <c r="A12" t="s">
        <v>15</v>
      </c>
      <c r="B12" t="s">
        <v>73</v>
      </c>
      <c r="C12" s="5">
        <v>17.850000000000001</v>
      </c>
      <c r="D12" s="2" t="s">
        <v>27</v>
      </c>
      <c r="E12" s="2" t="s">
        <v>28</v>
      </c>
      <c r="F12" s="3">
        <v>0.06</v>
      </c>
    </row>
    <row r="13" spans="1:7" x14ac:dyDescent="0.25">
      <c r="A13" t="s">
        <v>16</v>
      </c>
      <c r="B13" t="s">
        <v>26</v>
      </c>
      <c r="C13" s="5">
        <v>23.62</v>
      </c>
      <c r="D13" s="2" t="s">
        <v>84</v>
      </c>
      <c r="E13" s="2" t="s">
        <v>86</v>
      </c>
      <c r="F13" s="3">
        <v>9.5000000000000001E-2</v>
      </c>
    </row>
    <row r="14" spans="1:7" x14ac:dyDescent="0.25">
      <c r="A14" t="s">
        <v>18</v>
      </c>
      <c r="B14" t="s">
        <v>74</v>
      </c>
      <c r="C14" s="5">
        <v>21.52</v>
      </c>
      <c r="D14" s="2" t="s">
        <v>27</v>
      </c>
      <c r="E14" s="2" t="s">
        <v>88</v>
      </c>
      <c r="F14" s="3">
        <v>0.02</v>
      </c>
    </row>
    <row r="15" spans="1:7" x14ac:dyDescent="0.25">
      <c r="A15" t="s">
        <v>19</v>
      </c>
      <c r="B15" t="s">
        <v>74</v>
      </c>
      <c r="C15" s="5">
        <v>22.05</v>
      </c>
      <c r="D15" s="2" t="s">
        <v>27</v>
      </c>
      <c r="E15" s="2" t="s">
        <v>88</v>
      </c>
      <c r="F15" s="3">
        <v>0.08</v>
      </c>
    </row>
    <row r="16" spans="1:7" x14ac:dyDescent="0.25">
      <c r="A16" t="s">
        <v>20</v>
      </c>
      <c r="B16" t="s">
        <v>26</v>
      </c>
      <c r="C16" s="5">
        <v>23.01</v>
      </c>
      <c r="D16" s="2" t="s">
        <v>84</v>
      </c>
      <c r="E16" s="2" t="s">
        <v>86</v>
      </c>
      <c r="F16" s="3">
        <v>7.0000000000000001E-3</v>
      </c>
    </row>
    <row r="17" spans="1:26" x14ac:dyDescent="0.25">
      <c r="A17" t="s">
        <v>21</v>
      </c>
      <c r="B17" t="s">
        <v>26</v>
      </c>
      <c r="C17" s="5">
        <v>21.52</v>
      </c>
      <c r="D17" s="2" t="s">
        <v>84</v>
      </c>
      <c r="E17" s="2" t="s">
        <v>86</v>
      </c>
      <c r="F17" s="3">
        <v>3.0000000000000001E-3</v>
      </c>
    </row>
    <row r="18" spans="1:26" x14ac:dyDescent="0.25">
      <c r="A18" t="s">
        <v>22</v>
      </c>
      <c r="B18" t="s">
        <v>26</v>
      </c>
      <c r="C18" s="5">
        <v>13.59</v>
      </c>
      <c r="D18" s="2" t="s">
        <v>85</v>
      </c>
      <c r="E18" s="12" t="s">
        <v>87</v>
      </c>
      <c r="F18" s="3">
        <v>4.0000000000000001E-3</v>
      </c>
    </row>
    <row r="19" spans="1:26" x14ac:dyDescent="0.25">
      <c r="A19" t="s">
        <v>23</v>
      </c>
      <c r="B19" t="s">
        <v>73</v>
      </c>
      <c r="C19" s="5">
        <v>22.57</v>
      </c>
      <c r="D19" s="2" t="s">
        <v>27</v>
      </c>
      <c r="E19" s="2" t="s">
        <v>28</v>
      </c>
      <c r="F19" s="3">
        <v>1.4999999999999999E-2</v>
      </c>
    </row>
    <row r="20" spans="1:26" x14ac:dyDescent="0.25">
      <c r="A20" t="s">
        <v>24</v>
      </c>
      <c r="B20" t="s">
        <v>26</v>
      </c>
      <c r="C20" s="5">
        <v>14.17</v>
      </c>
      <c r="D20" s="2" t="s">
        <v>84</v>
      </c>
      <c r="E20" s="2" t="s">
        <v>86</v>
      </c>
      <c r="F20" s="3">
        <v>0.05</v>
      </c>
    </row>
    <row r="21" spans="1:26" x14ac:dyDescent="0.25">
      <c r="A21" t="s">
        <v>25</v>
      </c>
      <c r="B21" t="s">
        <v>71</v>
      </c>
      <c r="C21" s="5">
        <v>16.8</v>
      </c>
      <c r="D21" s="2" t="s">
        <v>27</v>
      </c>
      <c r="E21" s="2" t="s">
        <v>28</v>
      </c>
      <c r="F21" s="3">
        <v>0.03</v>
      </c>
    </row>
    <row r="24" spans="1:26" x14ac:dyDescent="0.25">
      <c r="B24" t="s">
        <v>56</v>
      </c>
    </row>
    <row r="25" spans="1:26" x14ac:dyDescent="0.25">
      <c r="B25" t="s">
        <v>57</v>
      </c>
    </row>
    <row r="27" spans="1:26" x14ac:dyDescent="0.25">
      <c r="C27">
        <v>1</v>
      </c>
      <c r="D27" s="5">
        <v>25.2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</row>
    <row r="28" spans="1:26" x14ac:dyDescent="0.25">
      <c r="B28" t="s">
        <v>58</v>
      </c>
      <c r="C28">
        <v>1</v>
      </c>
      <c r="D28" s="5">
        <v>23.1</v>
      </c>
      <c r="F28" t="s">
        <v>59</v>
      </c>
      <c r="G28" s="5">
        <v>25.2</v>
      </c>
      <c r="H28" s="5">
        <v>23.1</v>
      </c>
      <c r="I28" s="5">
        <v>30.97</v>
      </c>
      <c r="J28" s="5">
        <v>18.899999999999999</v>
      </c>
      <c r="K28" s="5">
        <v>15.2</v>
      </c>
      <c r="L28" s="5">
        <v>29.4</v>
      </c>
      <c r="M28" s="5">
        <v>24.6</v>
      </c>
      <c r="N28" s="5">
        <v>23.56</v>
      </c>
      <c r="O28" s="5">
        <v>17.850000000000001</v>
      </c>
      <c r="P28" s="5">
        <v>15.25</v>
      </c>
      <c r="Q28" s="5">
        <v>17.850000000000001</v>
      </c>
      <c r="R28" s="5">
        <v>23.62</v>
      </c>
      <c r="S28" s="5">
        <v>21.52</v>
      </c>
      <c r="T28" s="5">
        <v>22.05</v>
      </c>
      <c r="U28" s="5">
        <v>23.01</v>
      </c>
      <c r="V28" s="5">
        <v>21.52</v>
      </c>
      <c r="W28" s="5">
        <v>13.59</v>
      </c>
      <c r="X28" s="5">
        <v>22.57</v>
      </c>
      <c r="Y28" s="5">
        <v>14.17</v>
      </c>
      <c r="Z28" s="5">
        <v>16.8</v>
      </c>
    </row>
    <row r="29" spans="1:26" x14ac:dyDescent="0.25">
      <c r="C29">
        <v>1</v>
      </c>
      <c r="D29" s="5">
        <v>30.97</v>
      </c>
    </row>
    <row r="30" spans="1:26" x14ac:dyDescent="0.25">
      <c r="C30">
        <v>1</v>
      </c>
      <c r="D30" s="5">
        <v>18.899999999999999</v>
      </c>
    </row>
    <row r="31" spans="1:26" x14ac:dyDescent="0.25">
      <c r="C31">
        <v>1</v>
      </c>
      <c r="D31" s="5">
        <v>15.2</v>
      </c>
    </row>
    <row r="32" spans="1:26" x14ac:dyDescent="0.25">
      <c r="C32">
        <v>1</v>
      </c>
      <c r="D32" s="5">
        <v>29.4</v>
      </c>
      <c r="F32" t="s">
        <v>60</v>
      </c>
      <c r="G32">
        <f t="array" ref="G32:H33">MMULT(G27:Z28,C27:D46)</f>
        <v>20</v>
      </c>
      <c r="H32">
        <v>420.7299999999999</v>
      </c>
      <c r="J32" t="s">
        <v>66</v>
      </c>
      <c r="K32" s="5">
        <f>AVERAGE(C27:D46,C49:C68)</f>
        <v>7.3621666666666643</v>
      </c>
    </row>
    <row r="33" spans="3:11" x14ac:dyDescent="0.25">
      <c r="C33">
        <v>1</v>
      </c>
      <c r="D33" s="5">
        <v>24.6</v>
      </c>
      <c r="G33">
        <v>420.7299999999999</v>
      </c>
      <c r="H33">
        <v>9287.3516999999993</v>
      </c>
    </row>
    <row r="34" spans="3:11" x14ac:dyDescent="0.25">
      <c r="C34">
        <v>1</v>
      </c>
      <c r="D34" s="5">
        <v>23.56</v>
      </c>
      <c r="J34" t="s">
        <v>65</v>
      </c>
      <c r="K34" s="5">
        <f>AVERAGE(D27:D46)</f>
        <v>21.036499999999997</v>
      </c>
    </row>
    <row r="35" spans="3:11" x14ac:dyDescent="0.25">
      <c r="C35">
        <v>1</v>
      </c>
      <c r="D35" s="5">
        <v>17.850000000000001</v>
      </c>
    </row>
    <row r="36" spans="3:11" x14ac:dyDescent="0.25">
      <c r="C36">
        <v>1</v>
      </c>
      <c r="D36" s="5">
        <v>15.25</v>
      </c>
      <c r="F36" t="s">
        <v>61</v>
      </c>
      <c r="G36">
        <f t="array" ref="G36:H37">MINVERSE(G32:H33)</f>
        <v>1.0634411425480264</v>
      </c>
      <c r="H36">
        <v>-4.817536864725723E-2</v>
      </c>
      <c r="J36" t="s">
        <v>67</v>
      </c>
      <c r="K36" s="4">
        <f>AVERAGE(C49:C68)</f>
        <v>5.000000000000001E-2</v>
      </c>
    </row>
    <row r="37" spans="3:11" x14ac:dyDescent="0.25">
      <c r="C37">
        <v>1</v>
      </c>
      <c r="D37" s="5">
        <v>17.850000000000001</v>
      </c>
      <c r="G37">
        <v>-4.8175368647257223E-2</v>
      </c>
      <c r="H37">
        <v>2.2900847882136874E-3</v>
      </c>
    </row>
    <row r="38" spans="3:11" x14ac:dyDescent="0.25">
      <c r="C38">
        <v>1</v>
      </c>
      <c r="D38" s="5">
        <v>23.62</v>
      </c>
      <c r="J38" t="s">
        <v>68</v>
      </c>
      <c r="K38">
        <f>AVERAGE(D27:D46*D27:D46)</f>
        <v>557.90440000000001</v>
      </c>
    </row>
    <row r="39" spans="3:11" x14ac:dyDescent="0.25">
      <c r="C39">
        <v>1</v>
      </c>
      <c r="D39" s="5">
        <v>21.52</v>
      </c>
      <c r="F39" t="s">
        <v>63</v>
      </c>
      <c r="G39">
        <f t="array" ref="G39:H40">MMULT(G27:Z28,C49:C68)</f>
        <v>1.0000000000000002</v>
      </c>
      <c r="H39">
        <v>1.0000000000000002</v>
      </c>
    </row>
    <row r="40" spans="3:11" x14ac:dyDescent="0.25">
      <c r="C40">
        <v>1</v>
      </c>
      <c r="D40" s="5">
        <v>22.05</v>
      </c>
      <c r="G40">
        <v>22.164089999999998</v>
      </c>
      <c r="H40">
        <v>22.164089999999998</v>
      </c>
    </row>
    <row r="41" spans="3:11" x14ac:dyDescent="0.25">
      <c r="C41">
        <v>1</v>
      </c>
      <c r="D41" s="5">
        <v>23.01</v>
      </c>
    </row>
    <row r="42" spans="3:11" x14ac:dyDescent="0.25">
      <c r="C42">
        <v>1</v>
      </c>
      <c r="D42" s="5">
        <v>21.52</v>
      </c>
    </row>
    <row r="43" spans="3:11" x14ac:dyDescent="0.25">
      <c r="C43">
        <v>1</v>
      </c>
      <c r="D43" s="5">
        <v>13.59</v>
      </c>
      <c r="F43" t="s">
        <v>64</v>
      </c>
      <c r="G43">
        <f t="array" ref="G43:H44">MMULT(G36:H37,G39:H40)</f>
        <v>-4.3220639329608623E-3</v>
      </c>
      <c r="H43">
        <v>-4.3220639329608623E-3</v>
      </c>
    </row>
    <row r="44" spans="3:11" x14ac:dyDescent="0.25">
      <c r="C44">
        <v>1</v>
      </c>
      <c r="D44" s="5">
        <v>22.57</v>
      </c>
      <c r="G44">
        <v>2.5822767063418683E-3</v>
      </c>
      <c r="H44">
        <v>2.5822767063418683E-3</v>
      </c>
    </row>
    <row r="45" spans="3:11" x14ac:dyDescent="0.25">
      <c r="C45">
        <v>1</v>
      </c>
      <c r="D45" s="5">
        <v>14.17</v>
      </c>
    </row>
    <row r="46" spans="3:11" x14ac:dyDescent="0.25">
      <c r="C46">
        <v>1</v>
      </c>
      <c r="D46" s="5">
        <v>16.8</v>
      </c>
      <c r="F46" t="s">
        <v>69</v>
      </c>
      <c r="G46" s="7">
        <f>K36-G48*K34</f>
        <v>-1.2924124827501722</v>
      </c>
    </row>
    <row r="48" spans="3:11" x14ac:dyDescent="0.25">
      <c r="F48" t="s">
        <v>70</v>
      </c>
      <c r="G48" s="7">
        <f>(K32-K34*K3)/(K38-K34*K34)</f>
        <v>6.381349001735899E-2</v>
      </c>
    </row>
    <row r="49" spans="2:3" x14ac:dyDescent="0.25">
      <c r="C49" s="3">
        <v>0.14000000000000001</v>
      </c>
    </row>
    <row r="50" spans="2:3" x14ac:dyDescent="0.25">
      <c r="B50" t="s">
        <v>62</v>
      </c>
      <c r="C50" s="3">
        <v>0.12</v>
      </c>
    </row>
    <row r="51" spans="2:3" x14ac:dyDescent="0.25">
      <c r="C51" s="3">
        <v>5.5E-2</v>
      </c>
    </row>
    <row r="52" spans="2:3" x14ac:dyDescent="0.25">
      <c r="C52" s="3">
        <v>0.08</v>
      </c>
    </row>
    <row r="53" spans="2:3" x14ac:dyDescent="0.25">
      <c r="C53" s="3">
        <v>4.4999999999999998E-2</v>
      </c>
    </row>
    <row r="54" spans="2:3" x14ac:dyDescent="0.25">
      <c r="C54" s="3">
        <v>0.105</v>
      </c>
    </row>
    <row r="55" spans="2:3" x14ac:dyDescent="0.25">
      <c r="C55" s="3">
        <v>6.0000000000000001E-3</v>
      </c>
    </row>
    <row r="56" spans="2:3" x14ac:dyDescent="0.25">
      <c r="C56" s="3">
        <v>5.0000000000000001E-3</v>
      </c>
    </row>
    <row r="57" spans="2:3" x14ac:dyDescent="0.25">
      <c r="C57" s="3">
        <v>0.02</v>
      </c>
    </row>
    <row r="58" spans="2:3" x14ac:dyDescent="0.25">
      <c r="C58" s="3">
        <v>0.06</v>
      </c>
    </row>
    <row r="59" spans="2:3" x14ac:dyDescent="0.25">
      <c r="C59" s="3">
        <v>0.06</v>
      </c>
    </row>
    <row r="60" spans="2:3" x14ac:dyDescent="0.25">
      <c r="C60" s="3">
        <v>9.5000000000000001E-2</v>
      </c>
    </row>
    <row r="61" spans="2:3" x14ac:dyDescent="0.25">
      <c r="C61" s="3">
        <v>0.02</v>
      </c>
    </row>
    <row r="62" spans="2:3" x14ac:dyDescent="0.25">
      <c r="C62" s="3">
        <v>0.08</v>
      </c>
    </row>
    <row r="63" spans="2:3" x14ac:dyDescent="0.25">
      <c r="C63" s="3">
        <v>7.0000000000000001E-3</v>
      </c>
    </row>
    <row r="64" spans="2:3" x14ac:dyDescent="0.25">
      <c r="C64" s="3">
        <v>3.0000000000000001E-3</v>
      </c>
    </row>
    <row r="65" spans="2:3" x14ac:dyDescent="0.25">
      <c r="C65" s="3">
        <v>4.0000000000000001E-3</v>
      </c>
    </row>
    <row r="66" spans="2:3" x14ac:dyDescent="0.25">
      <c r="C66" s="3">
        <v>1.4999999999999999E-2</v>
      </c>
    </row>
    <row r="67" spans="2:3" x14ac:dyDescent="0.25">
      <c r="C67" s="3">
        <v>0.05</v>
      </c>
    </row>
    <row r="68" spans="2:3" x14ac:dyDescent="0.25">
      <c r="C68" s="3">
        <v>0.03</v>
      </c>
    </row>
    <row r="70" spans="2:3" x14ac:dyDescent="0.25">
      <c r="B70" t="s">
        <v>75</v>
      </c>
      <c r="C70">
        <f>_xlfn.F.INV(0.95,1,20-1-1)</f>
        <v>4.4138734191705664</v>
      </c>
    </row>
    <row r="72" spans="2:3" x14ac:dyDescent="0.25">
      <c r="B72" t="s">
        <v>76</v>
      </c>
      <c r="C72">
        <f>_xlfn.T.INV(0.95,20-1-1)</f>
        <v>1.7340636066175383</v>
      </c>
    </row>
    <row r="74" spans="2:3" x14ac:dyDescent="0.25">
      <c r="B74" t="s">
        <v>77</v>
      </c>
      <c r="C74">
        <f>_xlfn.T.INV(0.95,20-1-1)</f>
        <v>1.7340636066175383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H29" sqref="H29"/>
    </sheetView>
  </sheetViews>
  <sheetFormatPr defaultRowHeight="15" x14ac:dyDescent="0.25"/>
  <cols>
    <col min="1" max="1" width="27.140625" customWidth="1"/>
    <col min="2" max="2" width="8.28515625" customWidth="1"/>
    <col min="3" max="3" width="25.85546875" bestFit="1" customWidth="1"/>
    <col min="4" max="4" width="9.140625" customWidth="1"/>
    <col min="5" max="5" width="35.42578125" bestFit="1" customWidth="1"/>
    <col min="6" max="6" width="12.42578125" bestFit="1" customWidth="1"/>
    <col min="7" max="7" width="13.140625" bestFit="1" customWidth="1"/>
    <col min="8" max="8" width="34.7109375" bestFit="1" customWidth="1"/>
    <col min="9" max="9" width="12.42578125" bestFit="1" customWidth="1"/>
    <col min="10" max="10" width="13.140625" bestFit="1" customWidth="1"/>
    <col min="11" max="11" width="7.85546875" bestFit="1" customWidth="1"/>
    <col min="12" max="12" width="12.140625" bestFit="1" customWidth="1"/>
  </cols>
  <sheetData>
    <row r="1" spans="1:12" x14ac:dyDescent="0.25">
      <c r="A1" s="1" t="s">
        <v>29</v>
      </c>
      <c r="C1" s="1" t="s">
        <v>38</v>
      </c>
      <c r="E1" s="1" t="s">
        <v>39</v>
      </c>
    </row>
    <row r="2" spans="1:12" x14ac:dyDescent="0.25">
      <c r="A2" s="5">
        <f>AVERAGE('База даних'!C2:C21)</f>
        <v>21.036499999999997</v>
      </c>
      <c r="C2" s="5">
        <f>MAX('База даних'!C2:C21)</f>
        <v>30.97</v>
      </c>
    </row>
    <row r="3" spans="1:12" x14ac:dyDescent="0.25">
      <c r="E3" s="6" t="s">
        <v>40</v>
      </c>
      <c r="H3" s="6" t="s">
        <v>42</v>
      </c>
    </row>
    <row r="4" spans="1:12" x14ac:dyDescent="0.25">
      <c r="A4" s="1" t="s">
        <v>30</v>
      </c>
      <c r="C4" s="1" t="s">
        <v>47</v>
      </c>
      <c r="E4">
        <v>1</v>
      </c>
      <c r="F4">
        <f>2^E4</f>
        <v>2</v>
      </c>
      <c r="H4" t="s">
        <v>43</v>
      </c>
      <c r="I4">
        <f>(C2-C5)/4</f>
        <v>4.3449999999999998</v>
      </c>
    </row>
    <row r="5" spans="1:12" x14ac:dyDescent="0.25">
      <c r="A5" s="5">
        <f>MODE('База даних'!C2:C21)</f>
        <v>17.850000000000001</v>
      </c>
      <c r="C5" s="5">
        <f>MIN('База даних'!C2:C21)</f>
        <v>13.59</v>
      </c>
      <c r="E5">
        <v>2</v>
      </c>
      <c r="F5">
        <f t="shared" ref="F5:F14" si="0">2^E5</f>
        <v>4</v>
      </c>
    </row>
    <row r="6" spans="1:12" x14ac:dyDescent="0.25">
      <c r="E6">
        <v>3</v>
      </c>
      <c r="F6">
        <f t="shared" si="0"/>
        <v>8</v>
      </c>
      <c r="H6" s="1" t="s">
        <v>44</v>
      </c>
      <c r="I6" s="1" t="s">
        <v>34</v>
      </c>
      <c r="J6" s="1" t="s">
        <v>35</v>
      </c>
      <c r="K6" s="1" t="s">
        <v>45</v>
      </c>
      <c r="L6" s="1" t="s">
        <v>46</v>
      </c>
    </row>
    <row r="7" spans="1:12" x14ac:dyDescent="0.25">
      <c r="A7" s="1" t="s">
        <v>31</v>
      </c>
      <c r="E7">
        <v>4</v>
      </c>
      <c r="F7">
        <f t="shared" si="0"/>
        <v>16</v>
      </c>
      <c r="H7">
        <v>1</v>
      </c>
      <c r="I7" s="5">
        <f>C5</f>
        <v>13.59</v>
      </c>
      <c r="J7" s="5">
        <f>I7+$I$4</f>
        <v>17.934999999999999</v>
      </c>
      <c r="K7">
        <f>COUNTIF('Статистичний звіт'!C2:C21,"&lt;"&amp;'Статистичний звіт'!J7)</f>
        <v>2</v>
      </c>
      <c r="L7">
        <f>K7/$K$11</f>
        <v>9.5238095238095233E-2</v>
      </c>
    </row>
    <row r="8" spans="1:12" x14ac:dyDescent="0.25">
      <c r="A8" s="5">
        <f>MEDIAN('База даних'!C2:C21)</f>
        <v>21.785</v>
      </c>
      <c r="E8">
        <v>5</v>
      </c>
      <c r="F8">
        <f t="shared" si="0"/>
        <v>32</v>
      </c>
      <c r="H8">
        <v>2</v>
      </c>
      <c r="I8" s="5">
        <f>J7</f>
        <v>17.934999999999999</v>
      </c>
      <c r="J8" s="5">
        <f>I8+$I$4</f>
        <v>22.279999999999998</v>
      </c>
      <c r="K8">
        <f>COUNTIF('Статистичний звіт'!C3:C22,"&lt;"&amp;'Статистичний звіт'!J8)</f>
        <v>2</v>
      </c>
      <c r="L8">
        <f>K8/$K$11</f>
        <v>9.5238095238095233E-2</v>
      </c>
    </row>
    <row r="9" spans="1:12" x14ac:dyDescent="0.25">
      <c r="E9">
        <v>6</v>
      </c>
      <c r="F9">
        <f t="shared" si="0"/>
        <v>64</v>
      </c>
      <c r="H9">
        <v>3</v>
      </c>
      <c r="I9" s="5">
        <f>J8</f>
        <v>22.279999999999998</v>
      </c>
      <c r="J9" s="5">
        <f>I9+$I$4</f>
        <v>26.624999999999996</v>
      </c>
      <c r="K9">
        <f>COUNTIF('Статистичний звіт'!C4:C23,"&lt;"&amp;'Статистичний звіт'!J9)</f>
        <v>2</v>
      </c>
      <c r="L9">
        <f>K9/$K$11</f>
        <v>9.5238095238095233E-2</v>
      </c>
    </row>
    <row r="10" spans="1:12" x14ac:dyDescent="0.25">
      <c r="A10" s="1" t="s">
        <v>32</v>
      </c>
      <c r="E10">
        <v>7</v>
      </c>
      <c r="F10">
        <f t="shared" si="0"/>
        <v>128</v>
      </c>
      <c r="H10">
        <v>4</v>
      </c>
      <c r="I10" s="5">
        <f>J9</f>
        <v>26.624999999999996</v>
      </c>
      <c r="J10" s="5">
        <f>I10+$I$4</f>
        <v>30.969999999999995</v>
      </c>
      <c r="K10">
        <f>COUNTIF('Статистичний звіт'!C5:C24,"&lt;"&amp;'Статистичний звіт'!J10)</f>
        <v>3</v>
      </c>
      <c r="L10">
        <f>K10/$K$11</f>
        <v>0.14285714285714285</v>
      </c>
    </row>
    <row r="11" spans="1:12" x14ac:dyDescent="0.25">
      <c r="A11">
        <f>STDEV('База даних'!C2:C21)</f>
        <v>4.7939932536237091</v>
      </c>
      <c r="E11">
        <v>8</v>
      </c>
      <c r="F11">
        <f t="shared" si="0"/>
        <v>256</v>
      </c>
      <c r="K11">
        <v>21</v>
      </c>
    </row>
    <row r="12" spans="1:12" x14ac:dyDescent="0.25">
      <c r="E12">
        <v>9</v>
      </c>
      <c r="F12">
        <f t="shared" si="0"/>
        <v>512</v>
      </c>
    </row>
    <row r="13" spans="1:12" x14ac:dyDescent="0.25">
      <c r="A13" s="1" t="s">
        <v>33</v>
      </c>
      <c r="C13" s="1" t="s">
        <v>33</v>
      </c>
      <c r="E13">
        <v>10</v>
      </c>
      <c r="F13">
        <f t="shared" si="0"/>
        <v>1024</v>
      </c>
    </row>
    <row r="14" spans="1:12" x14ac:dyDescent="0.25">
      <c r="A14" s="2" t="s">
        <v>36</v>
      </c>
      <c r="C14" s="2" t="s">
        <v>37</v>
      </c>
      <c r="E14">
        <v>11</v>
      </c>
      <c r="F14">
        <f t="shared" si="0"/>
        <v>2048</v>
      </c>
    </row>
    <row r="16" spans="1:12" x14ac:dyDescent="0.25">
      <c r="A16" s="1" t="s">
        <v>34</v>
      </c>
      <c r="C16" s="1" t="s">
        <v>34</v>
      </c>
      <c r="E16" t="s">
        <v>41</v>
      </c>
    </row>
    <row r="17" spans="1:3" x14ac:dyDescent="0.25">
      <c r="A17" s="5">
        <f>A2-A11</f>
        <v>16.242506746376286</v>
      </c>
      <c r="C17" s="5">
        <f>A2-2*A11</f>
        <v>11.448513492752578</v>
      </c>
    </row>
    <row r="19" spans="1:3" x14ac:dyDescent="0.25">
      <c r="A19" s="1" t="s">
        <v>35</v>
      </c>
      <c r="C19" s="1" t="s">
        <v>35</v>
      </c>
    </row>
    <row r="20" spans="1:3" x14ac:dyDescent="0.25">
      <c r="A20" s="5">
        <f>A2+A11</f>
        <v>25.830493253623708</v>
      </c>
      <c r="C20" s="5">
        <f>A2+2*A11</f>
        <v>30.624486507247415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0" sqref="B10"/>
    </sheetView>
  </sheetViews>
  <sheetFormatPr defaultRowHeight="15" x14ac:dyDescent="0.25"/>
  <cols>
    <col min="1" max="1" width="55" bestFit="1" customWidth="1"/>
    <col min="2" max="2" width="44.5703125" bestFit="1" customWidth="1"/>
  </cols>
  <sheetData>
    <row r="1" spans="1:2" x14ac:dyDescent="0.25">
      <c r="B1" t="s">
        <v>48</v>
      </c>
    </row>
    <row r="2" spans="1:2" x14ac:dyDescent="0.25">
      <c r="A2" t="s">
        <v>49</v>
      </c>
      <c r="B2">
        <f>CORREL('База даних'!C2:C21,'База даних'!F2:F21)</f>
        <v>0.29411687359425587</v>
      </c>
    </row>
    <row r="3" spans="1:2" x14ac:dyDescent="0.25">
      <c r="A3" t="s">
        <v>50</v>
      </c>
      <c r="B3">
        <f>AVERAGE('База даних'!C2:C21)</f>
        <v>21.036499999999997</v>
      </c>
    </row>
    <row r="4" spans="1:2" x14ac:dyDescent="0.25">
      <c r="A4" t="s">
        <v>51</v>
      </c>
      <c r="B4">
        <f>AVERAGE('База даних'!F2:F21)</f>
        <v>5.000000000000001E-2</v>
      </c>
    </row>
    <row r="5" spans="1:2" x14ac:dyDescent="0.25">
      <c r="A5" t="s">
        <v>52</v>
      </c>
      <c r="B5">
        <f>STDEV('База даних'!C2:C21)</f>
        <v>4.7939932536237091</v>
      </c>
    </row>
    <row r="6" spans="1:2" x14ac:dyDescent="0.25">
      <c r="A6" t="s">
        <v>53</v>
      </c>
      <c r="B6">
        <f>STDEV('База даних'!F2:F21)</f>
        <v>4.2090128859014198E-2</v>
      </c>
    </row>
    <row r="7" spans="1:2" x14ac:dyDescent="0.25">
      <c r="A7" t="s">
        <v>54</v>
      </c>
    </row>
    <row r="9" spans="1:2" x14ac:dyDescent="0.25">
      <c r="B9" t="s">
        <v>55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Зведена таблиця</vt:lpstr>
      <vt:lpstr>База даних</vt:lpstr>
      <vt:lpstr>Статистичний звіт</vt:lpstr>
      <vt:lpstr>Звіт по парній регресії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fisit01</cp:lastModifiedBy>
  <dcterms:created xsi:type="dcterms:W3CDTF">2016-09-20T18:43:15Z</dcterms:created>
  <dcterms:modified xsi:type="dcterms:W3CDTF">2016-10-18T12:54:23Z</dcterms:modified>
</cp:coreProperties>
</file>