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traBiswas\Desktop\StatExcel\"/>
    </mc:Choice>
  </mc:AlternateContent>
  <bookViews>
    <workbookView xWindow="120" yWindow="45" windowWidth="15135" windowHeight="8130"/>
  </bookViews>
  <sheets>
    <sheet name="prac 1" sheetId="1" r:id="rId1"/>
    <sheet name="prac 2" sheetId="2" r:id="rId2"/>
    <sheet name="prac 3" sheetId="3" r:id="rId3"/>
    <sheet name="prac 4" sheetId="4" r:id="rId4"/>
    <sheet name="prac 5" sheetId="5" r:id="rId5"/>
    <sheet name="prac 6" sheetId="6" r:id="rId6"/>
    <sheet name="prac 7" sheetId="7" r:id="rId7"/>
    <sheet name="prac 8" sheetId="8" r:id="rId8"/>
    <sheet name="prac 9" sheetId="9" r:id="rId9"/>
    <sheet name="prac 10" sheetId="10" r:id="rId10"/>
    <sheet name="prac 11" sheetId="11" r:id="rId11"/>
  </sheets>
  <definedNames>
    <definedName name="_xlnm._FilterDatabase" localSheetId="4" hidden="1">'prac 5'!$A$3:$D$20</definedName>
  </definedNames>
  <calcPr calcId="152511"/>
</workbook>
</file>

<file path=xl/calcChain.xml><?xml version="1.0" encoding="utf-8"?>
<calcChain xmlns="http://schemas.openxmlformats.org/spreadsheetml/2006/main">
  <c r="F37" i="11" l="1"/>
  <c r="F41" i="11"/>
  <c r="E36" i="11"/>
  <c r="E37" i="11"/>
  <c r="E38" i="11"/>
  <c r="E39" i="11"/>
  <c r="E40" i="11"/>
  <c r="E41" i="11"/>
  <c r="E42" i="11"/>
  <c r="E43" i="11"/>
  <c r="E35" i="11"/>
  <c r="B28" i="11"/>
  <c r="E30" i="11"/>
  <c r="I19" i="11"/>
  <c r="D44" i="11"/>
  <c r="F43" i="11"/>
  <c r="G43" i="11"/>
  <c r="D43" i="11"/>
  <c r="F42" i="11"/>
  <c r="G42" i="11"/>
  <c r="D42" i="11"/>
  <c r="G41" i="11"/>
  <c r="D41" i="11"/>
  <c r="F40" i="11"/>
  <c r="G40" i="11"/>
  <c r="D40" i="11"/>
  <c r="F39" i="11"/>
  <c r="G39" i="11"/>
  <c r="D39" i="11"/>
  <c r="D38" i="11"/>
  <c r="G38" i="11" s="1"/>
  <c r="D37" i="11"/>
  <c r="G37" i="11" s="1"/>
  <c r="F36" i="11"/>
  <c r="D36" i="11"/>
  <c r="G36" i="11" s="1"/>
  <c r="F35" i="11"/>
  <c r="D35" i="11"/>
  <c r="G35" i="11" s="1"/>
  <c r="B30" i="11"/>
  <c r="C26" i="11"/>
  <c r="D26" i="11" s="1"/>
  <c r="G25" i="11"/>
  <c r="C25" i="11"/>
  <c r="D22" i="11" s="1"/>
  <c r="C24" i="11"/>
  <c r="D25" i="11" s="1"/>
  <c r="E22" i="11" s="1"/>
  <c r="I23" i="11"/>
  <c r="C23" i="11"/>
  <c r="D21" i="11" s="1"/>
  <c r="E20" i="11" s="1"/>
  <c r="I22" i="11"/>
  <c r="C22" i="11"/>
  <c r="D24" i="11" s="1"/>
  <c r="I21" i="11"/>
  <c r="C21" i="11"/>
  <c r="D20" i="11" s="1"/>
  <c r="I20" i="11"/>
  <c r="C20" i="11"/>
  <c r="D23" i="11" s="1"/>
  <c r="E21" i="11" s="1"/>
  <c r="C19" i="11"/>
  <c r="D19" i="11" s="1"/>
  <c r="B19" i="11"/>
  <c r="G13" i="11"/>
  <c r="G26" i="11" s="1"/>
  <c r="G11" i="11"/>
  <c r="G9" i="11"/>
  <c r="G7" i="11"/>
  <c r="G24" i="11" s="1"/>
  <c r="G5" i="11"/>
  <c r="G3" i="11"/>
  <c r="B29" i="11" s="1"/>
  <c r="E23" i="11" l="1"/>
  <c r="E19" i="11"/>
  <c r="E25" i="11"/>
  <c r="H25" i="11" s="1"/>
  <c r="I25" i="11" s="1"/>
  <c r="E24" i="11"/>
  <c r="H24" i="11" s="1"/>
  <c r="I24" i="11" s="1"/>
  <c r="E26" i="11"/>
  <c r="H26" i="11" s="1"/>
  <c r="I26" i="11" s="1"/>
  <c r="G15" i="11"/>
  <c r="I8" i="10" l="1"/>
  <c r="H8" i="10"/>
  <c r="G8" i="10"/>
  <c r="F8" i="10"/>
  <c r="E8" i="10"/>
  <c r="D8" i="10"/>
  <c r="C8" i="10"/>
  <c r="B8" i="10"/>
  <c r="B12" i="10" s="1" a="1"/>
  <c r="B19" i="10" s="1"/>
  <c r="G39" i="9"/>
  <c r="G36" i="9"/>
  <c r="G37" i="9"/>
  <c r="G40" i="9"/>
  <c r="G41" i="9"/>
  <c r="G43" i="9"/>
  <c r="G44" i="9"/>
  <c r="G35" i="9"/>
  <c r="B46" i="9"/>
  <c r="E23" i="9"/>
  <c r="E24" i="9"/>
  <c r="E25" i="9"/>
  <c r="E22" i="9"/>
  <c r="D23" i="9"/>
  <c r="D24" i="9"/>
  <c r="D25" i="9"/>
  <c r="D22" i="9"/>
  <c r="C9" i="9"/>
  <c r="D9" i="9"/>
  <c r="E9" i="9"/>
  <c r="F9" i="9"/>
  <c r="G9" i="9"/>
  <c r="H9" i="9"/>
  <c r="I9" i="9"/>
  <c r="B9" i="9"/>
  <c r="B25" i="8"/>
  <c r="B23" i="8"/>
  <c r="B22" i="8"/>
  <c r="B15" i="8"/>
  <c r="D9" i="8"/>
  <c r="E9" i="8"/>
  <c r="F9" i="8"/>
  <c r="C9" i="8"/>
  <c r="B9" i="8"/>
  <c r="G7" i="8"/>
  <c r="D45" i="8" s="1"/>
  <c r="G8" i="8"/>
  <c r="G6" i="8"/>
  <c r="C44" i="8" s="1"/>
  <c r="G5" i="8"/>
  <c r="G44" i="7"/>
  <c r="G43" i="7"/>
  <c r="G39" i="7"/>
  <c r="G41" i="7"/>
  <c r="G38" i="7"/>
  <c r="G34" i="7"/>
  <c r="G35" i="7"/>
  <c r="G37" i="7"/>
  <c r="G33" i="7"/>
  <c r="D34" i="7"/>
  <c r="D37" i="7"/>
  <c r="D35" i="7"/>
  <c r="D38" i="7"/>
  <c r="D39" i="7"/>
  <c r="D41" i="7"/>
  <c r="D33" i="7"/>
  <c r="C43" i="7"/>
  <c r="D43" i="7" s="1"/>
  <c r="D12" i="7"/>
  <c r="F12" i="7"/>
  <c r="H12" i="7"/>
  <c r="B12" i="7"/>
  <c r="C23" i="7"/>
  <c r="C22" i="7"/>
  <c r="C21" i="7"/>
  <c r="C20" i="7"/>
  <c r="C19" i="7"/>
  <c r="C18" i="7"/>
  <c r="C17" i="7"/>
  <c r="C16" i="7"/>
  <c r="C51" i="6"/>
  <c r="B46" i="6"/>
  <c r="I35" i="6"/>
  <c r="F37" i="6"/>
  <c r="F36" i="6"/>
  <c r="C18" i="6"/>
  <c r="D18" i="6"/>
  <c r="E18" i="6"/>
  <c r="F18" i="6"/>
  <c r="G18" i="6"/>
  <c r="H18" i="6"/>
  <c r="I18" i="6"/>
  <c r="J18" i="6"/>
  <c r="K18" i="6"/>
  <c r="L18" i="6"/>
  <c r="M18" i="6"/>
  <c r="N18" i="6"/>
  <c r="B18" i="6"/>
  <c r="O17" i="6"/>
  <c r="O6" i="6"/>
  <c r="O7" i="6"/>
  <c r="O8" i="6"/>
  <c r="O9" i="6"/>
  <c r="O10" i="6"/>
  <c r="O11" i="6"/>
  <c r="O12" i="6"/>
  <c r="O13" i="6"/>
  <c r="O14" i="6"/>
  <c r="O15" i="6"/>
  <c r="O16" i="6"/>
  <c r="O5" i="6"/>
  <c r="B47" i="5"/>
  <c r="F20" i="5"/>
  <c r="H20" i="5" s="1"/>
  <c r="F19" i="5"/>
  <c r="H19" i="5" s="1"/>
  <c r="F18" i="5"/>
  <c r="H18" i="5" s="1"/>
  <c r="F17" i="5"/>
  <c r="H17" i="5" s="1"/>
  <c r="F9" i="5"/>
  <c r="F10" i="5"/>
  <c r="F8" i="5"/>
  <c r="F7" i="5"/>
  <c r="B22" i="5"/>
  <c r="B23" i="5" s="1"/>
  <c r="B24" i="5" s="1"/>
  <c r="C39" i="5" s="1"/>
  <c r="F15" i="5"/>
  <c r="F14" i="5"/>
  <c r="F13" i="5"/>
  <c r="F12" i="5"/>
  <c r="F38" i="4"/>
  <c r="E38" i="4"/>
  <c r="E37" i="4"/>
  <c r="D37" i="4"/>
  <c r="D38" i="4"/>
  <c r="D36" i="4"/>
  <c r="C36" i="4"/>
  <c r="C37" i="4"/>
  <c r="C38" i="4"/>
  <c r="C35" i="4"/>
  <c r="B35" i="4"/>
  <c r="B36" i="4"/>
  <c r="B37" i="4"/>
  <c r="B38" i="4"/>
  <c r="B34" i="4"/>
  <c r="B30" i="4"/>
  <c r="F6" i="4"/>
  <c r="F7" i="4"/>
  <c r="F8" i="4"/>
  <c r="F9" i="4"/>
  <c r="F10" i="4"/>
  <c r="F5" i="4"/>
  <c r="C11" i="4"/>
  <c r="D11" i="4"/>
  <c r="E11" i="4"/>
  <c r="B11" i="4"/>
  <c r="D9" i="3"/>
  <c r="D10" i="3" s="1"/>
  <c r="C9" i="3"/>
  <c r="C10" i="3" s="1"/>
  <c r="E9" i="3"/>
  <c r="E10" i="3" s="1"/>
  <c r="F9" i="3"/>
  <c r="F10" i="3" s="1"/>
  <c r="B9" i="3"/>
  <c r="B10" i="3" s="1"/>
  <c r="B14" i="3"/>
  <c r="B15" i="3" s="1"/>
  <c r="B12" i="3"/>
  <c r="B7" i="2" a="1"/>
  <c r="B7" i="2" s="1"/>
  <c r="B12" i="1" a="1"/>
  <c r="B12" i="1" s="1"/>
  <c r="C45" i="8" l="1"/>
  <c r="D54" i="5"/>
  <c r="G9" i="8"/>
  <c r="B14" i="8"/>
  <c r="B12" i="10"/>
  <c r="B14" i="10"/>
  <c r="B16" i="10"/>
  <c r="B18" i="10"/>
  <c r="C15" i="10" s="1"/>
  <c r="B13" i="10"/>
  <c r="C16" i="10" s="1"/>
  <c r="B15" i="10"/>
  <c r="C17" i="10" s="1"/>
  <c r="D18" i="10" s="1"/>
  <c r="B17" i="10"/>
  <c r="C18" i="10" s="1"/>
  <c r="B13" i="9" a="1"/>
  <c r="B13" i="9" s="1"/>
  <c r="B24" i="8"/>
  <c r="D21" i="7"/>
  <c r="D22" i="7"/>
  <c r="D16" i="7"/>
  <c r="D18" i="7"/>
  <c r="D20" i="7"/>
  <c r="E18" i="7" s="1"/>
  <c r="D17" i="7"/>
  <c r="E22" i="7"/>
  <c r="D19" i="7"/>
  <c r="D23" i="7"/>
  <c r="P6" i="6"/>
  <c r="Q6" i="6" s="1"/>
  <c r="F38" i="6"/>
  <c r="C47" i="6" s="1"/>
  <c r="F39" i="6"/>
  <c r="C45" i="6" s="1"/>
  <c r="D45" i="6" s="1"/>
  <c r="O18" i="6"/>
  <c r="C50" i="6" s="1"/>
  <c r="P15" i="6"/>
  <c r="Q15" i="6" s="1"/>
  <c r="P13" i="6"/>
  <c r="Q13" i="6" s="1"/>
  <c r="P11" i="6"/>
  <c r="Q11" i="6" s="1"/>
  <c r="P9" i="6"/>
  <c r="Q9" i="6" s="1"/>
  <c r="P7" i="6"/>
  <c r="Q7" i="6" s="1"/>
  <c r="P17" i="6"/>
  <c r="Q17" i="6" s="1"/>
  <c r="P5" i="6"/>
  <c r="Q5" i="6" s="1"/>
  <c r="C53" i="6" s="1"/>
  <c r="P16" i="6"/>
  <c r="Q16" i="6" s="1"/>
  <c r="P14" i="6"/>
  <c r="Q14" i="6" s="1"/>
  <c r="P12" i="6"/>
  <c r="Q12" i="6" s="1"/>
  <c r="P10" i="6"/>
  <c r="Q10" i="6" s="1"/>
  <c r="P8" i="6"/>
  <c r="Q8" i="6" s="1"/>
  <c r="B54" i="5"/>
  <c r="B53" i="5"/>
  <c r="B52" i="5"/>
  <c r="C53" i="5"/>
  <c r="C54" i="5"/>
  <c r="E27" i="5"/>
  <c r="B27" i="5"/>
  <c r="E22" i="5"/>
  <c r="F11" i="4"/>
  <c r="E12" i="3"/>
  <c r="E13" i="3" s="1"/>
  <c r="D22" i="3" s="1"/>
  <c r="C9" i="2"/>
  <c r="D8" i="2"/>
  <c r="B8" i="2"/>
  <c r="C7" i="2"/>
  <c r="D9" i="2"/>
  <c r="B9" i="2"/>
  <c r="C8" i="2"/>
  <c r="D7" i="2"/>
  <c r="H13" i="1"/>
  <c r="F13" i="1"/>
  <c r="D13" i="1"/>
  <c r="B13" i="1"/>
  <c r="G12" i="1"/>
  <c r="E12" i="1"/>
  <c r="C12" i="1"/>
  <c r="G13" i="1"/>
  <c r="E13" i="1"/>
  <c r="C13" i="1"/>
  <c r="H12" i="1"/>
  <c r="F12" i="1"/>
  <c r="D12" i="1"/>
  <c r="B13" i="8" l="1"/>
  <c r="E23" i="7"/>
  <c r="E20" i="7"/>
  <c r="B17" i="9"/>
  <c r="D14" i="10"/>
  <c r="E14" i="8"/>
  <c r="B16" i="8"/>
  <c r="E11" i="8" s="1"/>
  <c r="E13" i="8" s="1"/>
  <c r="E15" i="8" s="1"/>
  <c r="C22" i="8" s="1"/>
  <c r="D22" i="8" s="1"/>
  <c r="C13" i="10"/>
  <c r="C19" i="10"/>
  <c r="D19" i="10" s="1"/>
  <c r="E19" i="10" s="1"/>
  <c r="F19" i="10" s="1"/>
  <c r="C14" i="10"/>
  <c r="D13" i="10" s="1"/>
  <c r="C12" i="10"/>
  <c r="D12" i="10" s="1"/>
  <c r="E12" i="10" s="1"/>
  <c r="F12" i="10" s="1"/>
  <c r="B14" i="9"/>
  <c r="C17" i="9" s="1"/>
  <c r="B16" i="9"/>
  <c r="C18" i="9" s="1"/>
  <c r="B15" i="9"/>
  <c r="B19" i="9"/>
  <c r="B18" i="9"/>
  <c r="C15" i="9" s="1"/>
  <c r="B20" i="9"/>
  <c r="C20" i="9" s="1"/>
  <c r="C14" i="9"/>
  <c r="C16" i="9"/>
  <c r="C19" i="9"/>
  <c r="F23" i="7"/>
  <c r="G23" i="7" s="1"/>
  <c r="E16" i="7"/>
  <c r="E21" i="7"/>
  <c r="F22" i="7" s="1"/>
  <c r="G22" i="7" s="1"/>
  <c r="E19" i="7"/>
  <c r="F21" i="7" s="1"/>
  <c r="G21" i="7" s="1"/>
  <c r="F18" i="7"/>
  <c r="G18" i="7" s="1"/>
  <c r="F17" i="7"/>
  <c r="G17" i="7" s="1"/>
  <c r="E17" i="7"/>
  <c r="F19" i="7"/>
  <c r="G19" i="7" s="1"/>
  <c r="C54" i="6"/>
  <c r="C55" i="6" s="1"/>
  <c r="I36" i="6"/>
  <c r="C44" i="6" s="1"/>
  <c r="D44" i="6" s="1"/>
  <c r="E24" i="5"/>
  <c r="D35" i="5" s="1"/>
  <c r="C35" i="5"/>
  <c r="E29" i="5"/>
  <c r="D37" i="5" s="1"/>
  <c r="C37" i="5"/>
  <c r="B29" i="5"/>
  <c r="D36" i="5" s="1"/>
  <c r="C36" i="5"/>
  <c r="H27" i="5"/>
  <c r="B16" i="4"/>
  <c r="E14" i="3"/>
  <c r="D20" i="3" s="1"/>
  <c r="E20" i="3" s="1"/>
  <c r="G7" i="2" a="1"/>
  <c r="G7" i="2" s="1"/>
  <c r="B16" i="1" a="1"/>
  <c r="B16" i="1" s="1"/>
  <c r="B20" i="1" a="1"/>
  <c r="D19" i="9" l="1"/>
  <c r="D15" i="9"/>
  <c r="D16" i="9"/>
  <c r="E16" i="10"/>
  <c r="F16" i="10" s="1"/>
  <c r="D15" i="10"/>
  <c r="E12" i="8"/>
  <c r="B44" i="8"/>
  <c r="B43" i="8"/>
  <c r="E16" i="8"/>
  <c r="C23" i="8" s="1"/>
  <c r="D23" i="8" s="1"/>
  <c r="B45" i="8"/>
  <c r="D16" i="10"/>
  <c r="E15" i="10"/>
  <c r="F15" i="10" s="1"/>
  <c r="D17" i="10"/>
  <c r="E18" i="10" s="1"/>
  <c r="F18" i="10" s="1"/>
  <c r="D18" i="9"/>
  <c r="C13" i="9"/>
  <c r="D13" i="9" s="1"/>
  <c r="D14" i="9"/>
  <c r="E17" i="9" s="1"/>
  <c r="F17" i="9" s="1"/>
  <c r="C37" i="9" s="1"/>
  <c r="D37" i="9" s="1"/>
  <c r="E14" i="9"/>
  <c r="F14" i="9" s="1"/>
  <c r="C35" i="9" s="1"/>
  <c r="D35" i="9" s="1"/>
  <c r="E18" i="9"/>
  <c r="F18" i="9" s="1"/>
  <c r="C40" i="9" s="1"/>
  <c r="D40" i="9" s="1"/>
  <c r="D20" i="9"/>
  <c r="E13" i="9"/>
  <c r="F13" i="9" s="1"/>
  <c r="F20" i="7"/>
  <c r="G20" i="7" s="1"/>
  <c r="F16" i="7"/>
  <c r="G16" i="7" s="1"/>
  <c r="I37" i="6"/>
  <c r="C46" i="6" s="1"/>
  <c r="D46" i="6" s="1"/>
  <c r="D65" i="5"/>
  <c r="H29" i="5"/>
  <c r="D38" i="5" s="1"/>
  <c r="D67" i="5" s="1"/>
  <c r="C38" i="5"/>
  <c r="D13" i="4"/>
  <c r="D14" i="4"/>
  <c r="D15" i="4"/>
  <c r="E15" i="3"/>
  <c r="D21" i="3" s="1"/>
  <c r="E21" i="3" s="1"/>
  <c r="F20" i="3" s="1"/>
  <c r="C24" i="3" s="1"/>
  <c r="H8" i="2"/>
  <c r="H9" i="2"/>
  <c r="G9" i="2"/>
  <c r="I8" i="2"/>
  <c r="G8" i="2"/>
  <c r="I9" i="2"/>
  <c r="I7" i="2"/>
  <c r="H7" i="2"/>
  <c r="B11" i="2" s="1"/>
  <c r="C16" i="1"/>
  <c r="C17" i="1"/>
  <c r="B17" i="1"/>
  <c r="B20" i="1"/>
  <c r="B21" i="1"/>
  <c r="D17" i="9" l="1"/>
  <c r="E17" i="10"/>
  <c r="F17" i="10" s="1"/>
  <c r="E13" i="10"/>
  <c r="F13" i="10" s="1"/>
  <c r="F16" i="1" a="1"/>
  <c r="B13" i="2" a="1"/>
  <c r="C25" i="8"/>
  <c r="E17" i="8"/>
  <c r="C24" i="8" s="1"/>
  <c r="D24" i="8" s="1"/>
  <c r="E14" i="10"/>
  <c r="F14" i="10" s="1"/>
  <c r="E15" i="9"/>
  <c r="F15" i="9" s="1"/>
  <c r="C36" i="9" s="1"/>
  <c r="D36" i="9" s="1"/>
  <c r="E19" i="9"/>
  <c r="F19" i="9" s="1"/>
  <c r="C41" i="9" s="1"/>
  <c r="D41" i="9" s="1"/>
  <c r="C27" i="9"/>
  <c r="C46" i="9" s="1"/>
  <c r="C28" i="9"/>
  <c r="E20" i="9"/>
  <c r="E16" i="9"/>
  <c r="F16" i="9" s="1"/>
  <c r="C39" i="9" s="1"/>
  <c r="C25" i="7"/>
  <c r="C26" i="7"/>
  <c r="C44" i="7" s="1"/>
  <c r="D44" i="7" s="1"/>
  <c r="E44" i="6"/>
  <c r="F44" i="6" s="1"/>
  <c r="C52" i="6"/>
  <c r="E45" i="6"/>
  <c r="F45" i="6" s="1"/>
  <c r="E37" i="5"/>
  <c r="F37" i="5" s="1"/>
  <c r="E47" i="5"/>
  <c r="D61" i="5"/>
  <c r="E35" i="5"/>
  <c r="F35" i="5" s="1"/>
  <c r="E36" i="5"/>
  <c r="F36" i="5" s="1"/>
  <c r="C23" i="4"/>
  <c r="H15" i="4"/>
  <c r="D23" i="4" s="1"/>
  <c r="D16" i="4"/>
  <c r="C25" i="4"/>
  <c r="H14" i="4"/>
  <c r="D22" i="4" s="1"/>
  <c r="C22" i="4"/>
  <c r="B13" i="2"/>
  <c r="C14" i="2"/>
  <c r="B14" i="2"/>
  <c r="C13" i="2"/>
  <c r="G16" i="1"/>
  <c r="F17" i="1"/>
  <c r="F16" i="1"/>
  <c r="G17" i="1"/>
  <c r="D23" i="1" a="1"/>
  <c r="D23" i="1" s="1"/>
  <c r="E23" i="8" l="1"/>
  <c r="F23" i="8" s="1"/>
  <c r="B37" i="8"/>
  <c r="B38" i="8" s="1"/>
  <c r="B32" i="8"/>
  <c r="B33" i="8" s="1"/>
  <c r="E22" i="8"/>
  <c r="F22" i="8" s="1"/>
  <c r="D39" i="9"/>
  <c r="C43" i="9"/>
  <c r="D43" i="9" s="1"/>
  <c r="C44" i="9"/>
  <c r="D44" i="9" s="1"/>
  <c r="C29" i="9"/>
  <c r="C27" i="7"/>
  <c r="C45" i="7" s="1"/>
  <c r="D45" i="7" s="1"/>
  <c r="C46" i="7"/>
  <c r="H16" i="4"/>
  <c r="D24" i="4" s="1"/>
  <c r="D42" i="4" s="1"/>
  <c r="C24" i="4"/>
  <c r="B24" i="2" a="1"/>
  <c r="B30" i="2" a="1"/>
  <c r="B17" i="2" a="1"/>
  <c r="D24" i="1"/>
  <c r="D29" i="1" s="1"/>
  <c r="E29" i="1" s="1"/>
  <c r="D33" i="1"/>
  <c r="E33" i="1" s="1"/>
  <c r="D34" i="1"/>
  <c r="E34" i="1" s="1"/>
  <c r="D30" i="1"/>
  <c r="E30" i="1" s="1"/>
  <c r="D32" i="1"/>
  <c r="E32" i="1" s="1"/>
  <c r="D28" i="1"/>
  <c r="E28" i="1" s="1"/>
  <c r="E37" i="7" l="1"/>
  <c r="E43" i="7"/>
  <c r="E39" i="7"/>
  <c r="E34" i="7"/>
  <c r="E41" i="7"/>
  <c r="F41" i="7" s="1"/>
  <c r="E35" i="7"/>
  <c r="E33" i="7"/>
  <c r="E38" i="7"/>
  <c r="F38" i="7" s="1"/>
  <c r="E44" i="7"/>
  <c r="D45" i="9"/>
  <c r="E44" i="9" s="1"/>
  <c r="C45" i="9"/>
  <c r="E39" i="9"/>
  <c r="F39" i="9" s="1"/>
  <c r="E23" i="4"/>
  <c r="F23" i="4" s="1"/>
  <c r="E30" i="4"/>
  <c r="E22" i="4"/>
  <c r="F22" i="4" s="1"/>
  <c r="B17" i="2"/>
  <c r="C19" i="2"/>
  <c r="B18" i="2"/>
  <c r="D19" i="2"/>
  <c r="C18" i="2"/>
  <c r="C17" i="2"/>
  <c r="B19" i="2"/>
  <c r="D17" i="2"/>
  <c r="D18" i="2"/>
  <c r="B24" i="2"/>
  <c r="C24" i="2"/>
  <c r="D24" i="2"/>
  <c r="B30" i="2"/>
  <c r="G34" i="2" s="1"/>
  <c r="C32" i="2"/>
  <c r="H36" i="2" s="1"/>
  <c r="B31" i="2"/>
  <c r="G35" i="2" s="1"/>
  <c r="D32" i="2"/>
  <c r="I36" i="2" s="1"/>
  <c r="C31" i="2"/>
  <c r="H35" i="2" s="1"/>
  <c r="C30" i="2"/>
  <c r="H34" i="2" s="1"/>
  <c r="D30" i="2"/>
  <c r="I34" i="2" s="1"/>
  <c r="D31" i="2"/>
  <c r="I35" i="2" s="1"/>
  <c r="B32" i="2"/>
  <c r="G36" i="2" s="1"/>
  <c r="D36" i="1"/>
  <c r="D37" i="1" s="1"/>
  <c r="D31" i="1"/>
  <c r="E31" i="1" s="1"/>
  <c r="E43" i="9" l="1"/>
  <c r="E41" i="9"/>
  <c r="E36" i="9"/>
  <c r="E37" i="9"/>
  <c r="E40" i="9"/>
  <c r="E35" i="9"/>
  <c r="B21" i="2" a="1"/>
  <c r="G30" i="2" a="1"/>
  <c r="G30" i="2" s="1"/>
  <c r="B21" i="2" l="1"/>
  <c r="C21" i="2"/>
  <c r="D21" i="2"/>
</calcChain>
</file>

<file path=xl/sharedStrings.xml><?xml version="1.0" encoding="utf-8"?>
<sst xmlns="http://schemas.openxmlformats.org/spreadsheetml/2006/main" count="595" uniqueCount="287">
  <si>
    <t>d</t>
  </si>
  <si>
    <t>t</t>
  </si>
  <si>
    <r>
      <t>d</t>
    </r>
    <r>
      <rPr>
        <b/>
        <sz val="11"/>
        <color theme="1"/>
        <rFont val="Calibri"/>
        <family val="2"/>
      </rPr>
      <t>̂</t>
    </r>
    <r>
      <rPr>
        <b/>
        <vertAlign val="subscript"/>
        <sz val="11"/>
        <color theme="1"/>
        <rFont val="Calibri"/>
        <family val="2"/>
        <scheme val="minor"/>
      </rPr>
      <t>o</t>
    </r>
  </si>
  <si>
    <r>
      <t>v</t>
    </r>
    <r>
      <rPr>
        <b/>
        <sz val="11"/>
        <color theme="1"/>
        <rFont val="Calibri"/>
        <family val="2"/>
      </rPr>
      <t>̂</t>
    </r>
  </si>
  <si>
    <t>X =</t>
  </si>
  <si>
    <t>X' =</t>
  </si>
  <si>
    <t>X'X</t>
  </si>
  <si>
    <t>Y =</t>
  </si>
  <si>
    <t>X'Y =</t>
  </si>
  <si>
    <t>=</t>
  </si>
  <si>
    <r>
      <t>(X'X)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</si>
  <si>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d</t>
    </r>
    <r>
      <rPr>
        <b/>
        <sz val="11"/>
        <color theme="1"/>
        <rFont val="Calibri"/>
        <family val="2"/>
      </rPr>
      <t>̂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</si>
  <si>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</si>
  <si>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e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</si>
  <si>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σ̂</t>
    </r>
    <r>
      <rPr>
        <b/>
        <vertAlign val="superscript"/>
        <sz val="11"/>
        <color theme="1"/>
        <rFont val="Calibri"/>
        <family val="2"/>
      </rPr>
      <t>2</t>
    </r>
  </si>
  <si>
    <t>n</t>
  </si>
  <si>
    <t>n =</t>
  </si>
  <si>
    <t>p =</t>
  </si>
  <si>
    <r>
      <t>Therefore, d̂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=5.70463 and v̂=4.02135</t>
    </r>
  </si>
  <si>
    <r>
      <t>β̂ = (X'X)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X'Y=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</si>
  <si>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</si>
  <si>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</si>
  <si>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</si>
  <si>
    <t>X'X =</t>
  </si>
  <si>
    <t>|X'X| =</t>
  </si>
  <si>
    <t>Hence, it is a non-full rank case</t>
  </si>
  <si>
    <t>G =</t>
  </si>
  <si>
    <t>H=G(X'X)=</t>
  </si>
  <si>
    <t>C'</t>
  </si>
  <si>
    <t>C' =</t>
  </si>
  <si>
    <t>C'H =</t>
  </si>
  <si>
    <t>which is =</t>
  </si>
  <si>
    <t>Hence, the parametric function is estimable</t>
  </si>
  <si>
    <r>
      <t>C'</t>
    </r>
    <r>
      <rPr>
        <b/>
        <sz val="11"/>
        <color theme="1"/>
        <rFont val="Calibri"/>
        <family val="2"/>
      </rPr>
      <t>β̂ =</t>
    </r>
  </si>
  <si>
    <r>
      <t>C'G</t>
    </r>
    <r>
      <rPr>
        <b/>
        <sz val="11"/>
        <color theme="1"/>
        <rFont val="Calibri"/>
        <family val="2"/>
      </rPr>
      <t xml:space="preserve"> =</t>
    </r>
  </si>
  <si>
    <t xml:space="preserve">X'Y  = </t>
  </si>
  <si>
    <t>C'GX'Y =</t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</si>
  <si>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+y</t>
    </r>
    <r>
      <rPr>
        <vertAlign val="subscript"/>
        <sz val="11"/>
        <color theme="1"/>
        <rFont val="Calibri"/>
        <family val="2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</si>
  <si>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+y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</si>
  <si>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+y</t>
    </r>
    <r>
      <rPr>
        <vertAlign val="subscript"/>
        <sz val="11"/>
        <color theme="1"/>
        <rFont val="Calibri"/>
        <family val="2"/>
        <scheme val="minor"/>
      </rPr>
      <t>3</t>
    </r>
  </si>
  <si>
    <t>XGX' =</t>
  </si>
  <si>
    <t>C'GC =</t>
  </si>
  <si>
    <t>(I-XGX') =</t>
  </si>
  <si>
    <t>I =</t>
  </si>
  <si>
    <r>
      <t xml:space="preserve"> -0.3333y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+1.333y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-1.6667y</t>
    </r>
    <r>
      <rPr>
        <vertAlign val="subscript"/>
        <sz val="11"/>
        <color theme="1"/>
        <rFont val="Calibri"/>
        <family val="2"/>
        <scheme val="minor"/>
      </rPr>
      <t>3</t>
    </r>
  </si>
  <si>
    <t>e'e =</t>
  </si>
  <si>
    <r>
      <t>0.3333(y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</si>
  <si>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V</t>
    </r>
    <r>
      <rPr>
        <b/>
        <sz val="11"/>
        <color theme="1"/>
        <rFont val="Calibri"/>
        <family val="2"/>
      </rPr>
      <t>̂(C'β̂) =</t>
    </r>
  </si>
  <si>
    <r>
      <t>1.55554(y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</si>
  <si>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</si>
  <si>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</si>
  <si>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</si>
  <si>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</si>
  <si>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</si>
  <si>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</si>
  <si>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Y..</t>
  </si>
  <si>
    <r>
      <t>Y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..</t>
    </r>
  </si>
  <si>
    <t>CF</t>
  </si>
  <si>
    <t>TSS</t>
  </si>
  <si>
    <t>SST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</si>
  <si>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</si>
  <si>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/r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</si>
  <si>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k</t>
  </si>
  <si>
    <t>SSE</t>
  </si>
  <si>
    <t>ANOVA TABLE</t>
  </si>
  <si>
    <t>Sources of Variation</t>
  </si>
  <si>
    <t>d.f.</t>
  </si>
  <si>
    <t>Sum of Squares</t>
  </si>
  <si>
    <t>Mean Sum of Squares</t>
  </si>
  <si>
    <t>F-Ratio</t>
  </si>
  <si>
    <t>Treatment</t>
  </si>
  <si>
    <t>Error</t>
  </si>
  <si>
    <t>Total</t>
  </si>
  <si>
    <t>p-value</t>
  </si>
  <si>
    <t>α</t>
  </si>
  <si>
    <r>
      <t>p&gt;</t>
    </r>
    <r>
      <rPr>
        <b/>
        <sz val="11"/>
        <color theme="1"/>
        <rFont val="Calibri"/>
        <family val="2"/>
      </rPr>
      <t>α=0.05. Hence, we Accept H</t>
    </r>
    <r>
      <rPr>
        <b/>
        <vertAlign val="subscript"/>
        <sz val="11"/>
        <color theme="1"/>
        <rFont val="Calibri"/>
        <family val="2"/>
      </rPr>
      <t>o</t>
    </r>
    <r>
      <rPr>
        <b/>
        <sz val="11"/>
        <color theme="1"/>
        <rFont val="Calibri"/>
        <family val="2"/>
      </rPr>
      <t>.</t>
    </r>
  </si>
  <si>
    <t>Replication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</si>
  <si>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.j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</si>
  <si>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i.</t>
    </r>
  </si>
  <si>
    <t>v</t>
  </si>
  <si>
    <t>r</t>
  </si>
  <si>
    <t>SSB</t>
  </si>
  <si>
    <t>MST</t>
  </si>
  <si>
    <t>MSB</t>
  </si>
  <si>
    <t>MSE</t>
  </si>
  <si>
    <t>SS</t>
  </si>
  <si>
    <t>MSS</t>
  </si>
  <si>
    <t>Treatments</t>
  </si>
  <si>
    <t>Blocks</t>
  </si>
  <si>
    <r>
      <t xml:space="preserve">p-value for treatments = 0.004878 &lt; </t>
    </r>
    <r>
      <rPr>
        <b/>
        <sz val="11"/>
        <color theme="1"/>
        <rFont val="Calibri"/>
        <family val="2"/>
      </rPr>
      <t>α=0.05. So, we Reject H</t>
    </r>
    <r>
      <rPr>
        <b/>
        <vertAlign val="subscript"/>
        <sz val="11"/>
        <color theme="1"/>
        <rFont val="Calibri"/>
        <family val="2"/>
      </rPr>
      <t>o1</t>
    </r>
  </si>
  <si>
    <r>
      <t xml:space="preserve">p-value for blocks = 0.032087 &lt; </t>
    </r>
    <r>
      <rPr>
        <b/>
        <sz val="11"/>
        <color theme="1"/>
        <rFont val="Calibri"/>
        <family val="2"/>
      </rPr>
      <t>α=0.05. So, we Reject H</t>
    </r>
    <r>
      <rPr>
        <b/>
        <vertAlign val="subscript"/>
        <sz val="11"/>
        <color theme="1"/>
        <rFont val="Calibri"/>
        <family val="2"/>
      </rPr>
      <t>o2</t>
    </r>
  </si>
  <si>
    <r>
      <t>As H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is rejected, we proceed for pairwise comparison</t>
    </r>
  </si>
  <si>
    <t>CD =</t>
  </si>
  <si>
    <r>
      <t>t</t>
    </r>
    <r>
      <rPr>
        <vertAlign val="subscript"/>
        <sz val="11"/>
        <color theme="1"/>
        <rFont val="Calibri"/>
        <family val="2"/>
        <scheme val="minor"/>
      </rPr>
      <t>(15)</t>
    </r>
    <r>
      <rPr>
        <sz val="11"/>
        <color theme="1"/>
        <rFont val="Calibri"/>
        <family val="2"/>
        <scheme val="minor"/>
      </rPr>
      <t>(0.025)</t>
    </r>
  </si>
  <si>
    <t>Difference Table</t>
  </si>
  <si>
    <r>
      <t>y</t>
    </r>
    <r>
      <rPr>
        <b/>
        <sz val="11"/>
        <color theme="1"/>
        <rFont val="Calibri"/>
        <family val="2"/>
      </rPr>
      <t>̄</t>
    </r>
    <r>
      <rPr>
        <b/>
        <vertAlign val="subscript"/>
        <sz val="11"/>
        <color theme="1"/>
        <rFont val="Calibri"/>
        <family val="2"/>
        <scheme val="minor"/>
      </rPr>
      <t>i.</t>
    </r>
  </si>
  <si>
    <t>The following pairs of treatments are signifacantly different - (1,4), (1,6), (2,4), (2,6), (4,5), (5,6)</t>
  </si>
  <si>
    <t>Efficiency (RBD wrt CRD) =</t>
  </si>
  <si>
    <t>Lengths of time</t>
  </si>
  <si>
    <t>Versions of car (R)</t>
  </si>
  <si>
    <t>Model of Engine (C)</t>
  </si>
  <si>
    <t>Company (T)</t>
  </si>
  <si>
    <t>B</t>
  </si>
  <si>
    <t>A</t>
  </si>
  <si>
    <t>D</t>
  </si>
  <si>
    <t>C</t>
  </si>
  <si>
    <t>m</t>
  </si>
  <si>
    <t>y…</t>
  </si>
  <si>
    <t>SSR</t>
  </si>
  <si>
    <t>SSC</t>
  </si>
  <si>
    <t>MSR</t>
  </si>
  <si>
    <t>Rows</t>
  </si>
  <si>
    <t>Columns</t>
  </si>
  <si>
    <t>MSC</t>
  </si>
  <si>
    <r>
      <t xml:space="preserve">p-value for Rows = 0.676493&gt; </t>
    </r>
    <r>
      <rPr>
        <b/>
        <sz val="11"/>
        <color theme="1"/>
        <rFont val="Calibri"/>
        <family val="2"/>
      </rPr>
      <t>α=0.05. So, we Accept H</t>
    </r>
    <r>
      <rPr>
        <b/>
        <vertAlign val="subscript"/>
        <sz val="11"/>
        <color theme="1"/>
        <rFont val="Calibri"/>
        <family val="2"/>
      </rPr>
      <t>o1</t>
    </r>
  </si>
  <si>
    <r>
      <t xml:space="preserve">p-value for Columns = 0.131412&gt; </t>
    </r>
    <r>
      <rPr>
        <b/>
        <sz val="11"/>
        <color theme="1"/>
        <rFont val="Calibri"/>
        <family val="2"/>
      </rPr>
      <t>α=0.05. So, we Accept H</t>
    </r>
    <r>
      <rPr>
        <b/>
        <vertAlign val="subscript"/>
        <sz val="11"/>
        <color theme="1"/>
        <rFont val="Calibri"/>
        <family val="2"/>
      </rPr>
      <t>o2</t>
    </r>
  </si>
  <si>
    <r>
      <t xml:space="preserve">p-value for treatments = 0.010222 &lt; </t>
    </r>
    <r>
      <rPr>
        <b/>
        <sz val="11"/>
        <color theme="1"/>
        <rFont val="Calibri"/>
        <family val="2"/>
      </rPr>
      <t>α=0.05. So, we Reject H</t>
    </r>
    <r>
      <rPr>
        <b/>
        <vertAlign val="subscript"/>
        <sz val="11"/>
        <color theme="1"/>
        <rFont val="Calibri"/>
        <family val="2"/>
      </rPr>
      <t>o3</t>
    </r>
  </si>
  <si>
    <r>
      <t>As H</t>
    </r>
    <r>
      <rPr>
        <b/>
        <vertAlign val="subscript"/>
        <sz val="11"/>
        <color theme="1"/>
        <rFont val="Calibri"/>
        <family val="2"/>
        <scheme val="minor"/>
      </rPr>
      <t>o3</t>
    </r>
    <r>
      <rPr>
        <b/>
        <sz val="11"/>
        <color theme="1"/>
        <rFont val="Calibri"/>
        <family val="2"/>
        <scheme val="minor"/>
      </rPr>
      <t xml:space="preserve"> is rejected, we proceed for pairwise comparison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</si>
  <si>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(6)</t>
    </r>
    <r>
      <rPr>
        <b/>
        <sz val="11"/>
        <color theme="1"/>
        <rFont val="Calibri"/>
        <family val="2"/>
        <scheme val="minor"/>
      </rPr>
      <t>(0.025</t>
    </r>
    <r>
      <rPr>
        <b/>
        <sz val="11"/>
        <color theme="1"/>
        <rFont val="Calibri"/>
        <family val="2"/>
      </rPr>
      <t>)</t>
    </r>
  </si>
  <si>
    <t>CD</t>
  </si>
  <si>
    <t>The following pairs of treatments are signifacantly different - (A,D), (B,C), (C,D)</t>
  </si>
  <si>
    <t>Efficiency</t>
  </si>
  <si>
    <t>(i)</t>
  </si>
  <si>
    <t>LSD wrt CRD =</t>
  </si>
  <si>
    <t>(ii)</t>
  </si>
  <si>
    <t>LSD wrt RBD :</t>
  </si>
  <si>
    <t>Rows Taken as Blocks =</t>
  </si>
  <si>
    <t>Columns Taken as Blocks =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</si>
  <si>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1..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</si>
  <si>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2..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</si>
  <si>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3..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</si>
  <si>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4..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</si>
  <si>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.1.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</si>
  <si>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.2.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</si>
  <si>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.3.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</si>
  <si>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.4.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</si>
  <si>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..1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</si>
  <si>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..2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</si>
  <si>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..3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</si>
  <si>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..4</t>
    </r>
  </si>
  <si>
    <r>
      <t>y</t>
    </r>
    <r>
      <rPr>
        <b/>
        <sz val="11"/>
        <color theme="1"/>
        <rFont val="Calibri"/>
        <family val="2"/>
      </rPr>
      <t>̄</t>
    </r>
    <r>
      <rPr>
        <b/>
        <vertAlign val="subscript"/>
        <sz val="11"/>
        <color theme="1"/>
        <rFont val="Calibri"/>
        <family val="2"/>
        <scheme val="minor"/>
      </rPr>
      <t>..1</t>
    </r>
  </si>
  <si>
    <r>
      <t>y</t>
    </r>
    <r>
      <rPr>
        <b/>
        <sz val="11"/>
        <color theme="1"/>
        <rFont val="Calibri"/>
        <family val="2"/>
      </rPr>
      <t>̄</t>
    </r>
    <r>
      <rPr>
        <b/>
        <vertAlign val="subscript"/>
        <sz val="11"/>
        <color theme="1"/>
        <rFont val="Calibri"/>
        <family val="2"/>
        <scheme val="minor"/>
      </rPr>
      <t>..2</t>
    </r>
  </si>
  <si>
    <r>
      <t>y</t>
    </r>
    <r>
      <rPr>
        <b/>
        <sz val="11"/>
        <color theme="1"/>
        <rFont val="Calibri"/>
        <family val="2"/>
      </rPr>
      <t>̄</t>
    </r>
    <r>
      <rPr>
        <b/>
        <vertAlign val="subscript"/>
        <sz val="11"/>
        <color theme="1"/>
        <rFont val="Calibri"/>
        <family val="2"/>
        <scheme val="minor"/>
      </rPr>
      <t>..3</t>
    </r>
  </si>
  <si>
    <r>
      <t>y</t>
    </r>
    <r>
      <rPr>
        <b/>
        <sz val="11"/>
        <color theme="1"/>
        <rFont val="Calibri"/>
        <family val="2"/>
      </rPr>
      <t>̄</t>
    </r>
    <r>
      <rPr>
        <b/>
        <vertAlign val="subscript"/>
        <sz val="11"/>
        <color theme="1"/>
        <rFont val="Calibri"/>
        <family val="2"/>
        <scheme val="minor"/>
      </rPr>
      <t>..4</t>
    </r>
  </si>
  <si>
    <t>Trts</t>
  </si>
  <si>
    <t>Block</t>
  </si>
  <si>
    <t>Bj</t>
  </si>
  <si>
    <t>Incidence Matrix -</t>
  </si>
  <si>
    <t>N =</t>
  </si>
  <si>
    <t>v =</t>
  </si>
  <si>
    <t>b =</t>
  </si>
  <si>
    <t>r =</t>
  </si>
  <si>
    <t>k =</t>
  </si>
  <si>
    <t>λ =</t>
  </si>
  <si>
    <t>y.. =</t>
  </si>
  <si>
    <t>CF =</t>
  </si>
  <si>
    <t>RSS =</t>
  </si>
  <si>
    <t>TSS =</t>
  </si>
  <si>
    <t>SSB(unadj) =</t>
  </si>
  <si>
    <t>SST(adj) =</t>
  </si>
  <si>
    <t>SSE =</t>
  </si>
  <si>
    <t>E =</t>
  </si>
  <si>
    <r>
      <t>t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α/2) =</t>
    </r>
  </si>
  <si>
    <t>y1. =</t>
  </si>
  <si>
    <t>m =</t>
  </si>
  <si>
    <t>y2. =</t>
  </si>
  <si>
    <t xml:space="preserve"> &lt; CD. Hence Treatments 1 &amp; 2 do not differ significantly</t>
  </si>
  <si>
    <t>Pairwise Comparison -</t>
  </si>
  <si>
    <r>
      <t xml:space="preserve">Therefore, as p-value for treatments &gt; </t>
    </r>
    <r>
      <rPr>
        <b/>
        <sz val="11"/>
        <color theme="1"/>
        <rFont val="Calibri"/>
        <family val="2"/>
      </rPr>
      <t xml:space="preserve">α = </t>
    </r>
    <r>
      <rPr>
        <b/>
        <sz val="11"/>
        <color theme="1"/>
        <rFont val="Calibri"/>
        <family val="2"/>
        <scheme val="minor"/>
      </rPr>
      <t>0.05, we accept H0 at 100α% l.o.s.</t>
    </r>
  </si>
  <si>
    <r>
      <t>|y</t>
    </r>
    <r>
      <rPr>
        <vertAlign val="subscript"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- y</t>
    </r>
    <r>
      <rPr>
        <vertAlign val="subscript"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| =</t>
    </r>
  </si>
  <si>
    <r>
      <t>Σn</t>
    </r>
    <r>
      <rPr>
        <b/>
        <vertAlign val="subscript"/>
        <sz val="11"/>
        <color theme="1"/>
        <rFont val="Calibri"/>
        <family val="2"/>
      </rPr>
      <t>ij</t>
    </r>
    <r>
      <rPr>
        <b/>
        <sz val="11"/>
        <color theme="1"/>
        <rFont val="Calibri"/>
        <family val="2"/>
      </rPr>
      <t>B</t>
    </r>
    <r>
      <rPr>
        <b/>
        <vertAlign val="subscript"/>
        <sz val="11"/>
        <color theme="1"/>
        <rFont val="Calibri"/>
        <family val="2"/>
      </rPr>
      <t>j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</si>
  <si>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i.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</si>
  <si>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</si>
  <si>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Rep 1</t>
  </si>
  <si>
    <t>Rep 2</t>
  </si>
  <si>
    <t>Rep 3</t>
  </si>
  <si>
    <t>Rep 4</t>
  </si>
  <si>
    <t>NK</t>
  </si>
  <si>
    <t>P</t>
  </si>
  <si>
    <t>NP</t>
  </si>
  <si>
    <t>N</t>
  </si>
  <si>
    <t>NKP</t>
  </si>
  <si>
    <t>K</t>
  </si>
  <si>
    <t>YATES TABLE</t>
  </si>
  <si>
    <t>[1]</t>
  </si>
  <si>
    <t>[2]</t>
  </si>
  <si>
    <t>[3]</t>
  </si>
  <si>
    <t>[4]</t>
  </si>
  <si>
    <t>[5]</t>
  </si>
  <si>
    <t>PK</t>
  </si>
  <si>
    <t>NPK</t>
  </si>
  <si>
    <t>[6] (S.S.)</t>
  </si>
  <si>
    <t xml:space="preserve"> = SSP</t>
  </si>
  <si>
    <t xml:space="preserve"> = SSK</t>
  </si>
  <si>
    <t xml:space="preserve"> = SSPK</t>
  </si>
  <si>
    <t xml:space="preserve"> = SSN</t>
  </si>
  <si>
    <t xml:space="preserve"> = SSNP</t>
  </si>
  <si>
    <t xml:space="preserve"> = SSNK</t>
  </si>
  <si>
    <t xml:space="preserve"> = SSNPK</t>
  </si>
  <si>
    <t xml:space="preserve"> = CF</t>
  </si>
  <si>
    <t>SSB =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</si>
  <si>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>j</t>
    </r>
  </si>
  <si>
    <t xml:space="preserve">Now, </t>
  </si>
  <si>
    <t>1/F</t>
  </si>
  <si>
    <t>Main:</t>
  </si>
  <si>
    <t>2-factor Interaction</t>
  </si>
  <si>
    <t>3-factor Interaction</t>
  </si>
  <si>
    <t>F-Tab</t>
  </si>
  <si>
    <t>Reject</t>
  </si>
  <si>
    <t>Accept</t>
  </si>
  <si>
    <t>Decision</t>
  </si>
  <si>
    <t>Observer</t>
  </si>
  <si>
    <t>Slide number</t>
  </si>
  <si>
    <t>x</t>
  </si>
  <si>
    <r>
      <t>T</t>
    </r>
    <r>
      <rPr>
        <vertAlign val="subscript"/>
        <sz val="11"/>
        <color theme="1"/>
        <rFont val="Calibri"/>
        <family val="2"/>
        <scheme val="minor"/>
      </rPr>
      <t>.j</t>
    </r>
  </si>
  <si>
    <r>
      <t>T</t>
    </r>
    <r>
      <rPr>
        <vertAlign val="subscript"/>
        <sz val="11"/>
        <color theme="1"/>
        <rFont val="Calibri"/>
        <family val="2"/>
        <scheme val="minor"/>
      </rPr>
      <t>i.</t>
    </r>
  </si>
  <si>
    <r>
      <t xml:space="preserve">As </t>
    </r>
    <r>
      <rPr>
        <b/>
        <i/>
        <sz val="11"/>
        <color theme="1"/>
        <rFont val="Calibri"/>
        <family val="2"/>
        <scheme val="minor"/>
      </rPr>
      <t>p-</t>
    </r>
    <r>
      <rPr>
        <b/>
        <sz val="11"/>
        <color theme="1"/>
        <rFont val="Calibri"/>
        <family val="2"/>
        <scheme val="minor"/>
      </rPr>
      <t xml:space="preserve">value of treatments = 0.000258 &lt; </t>
    </r>
    <r>
      <rPr>
        <b/>
        <sz val="11"/>
        <color theme="1"/>
        <rFont val="Calibri"/>
        <family val="2"/>
      </rPr>
      <t>α = 0.05, we reject H</t>
    </r>
    <r>
      <rPr>
        <b/>
        <vertAlign val="subscript"/>
        <sz val="11"/>
        <color theme="1"/>
        <rFont val="Calibri"/>
        <family val="2"/>
      </rPr>
      <t>o</t>
    </r>
    <r>
      <rPr>
        <b/>
        <sz val="11"/>
        <color theme="1"/>
        <rFont val="Calibri"/>
        <family val="2"/>
      </rPr>
      <t xml:space="preserve"> at 5% level of significance.</t>
    </r>
  </si>
  <si>
    <t>(a) When both observers correspond to non missing data</t>
  </si>
  <si>
    <t>T'.. =</t>
  </si>
  <si>
    <r>
      <t>T'</t>
    </r>
    <r>
      <rPr>
        <b/>
        <vertAlign val="subscript"/>
        <sz val="11"/>
        <color theme="1"/>
        <rFont val="Calibri"/>
        <family val="2"/>
        <scheme val="minor"/>
      </rPr>
      <t xml:space="preserve">1. </t>
    </r>
    <r>
      <rPr>
        <b/>
        <sz val="11"/>
        <color theme="1"/>
        <rFont val="Calibri"/>
        <family val="2"/>
        <scheme val="minor"/>
      </rPr>
      <t>=</t>
    </r>
  </si>
  <si>
    <r>
      <t>T'</t>
    </r>
    <r>
      <rPr>
        <b/>
        <vertAlign val="subscript"/>
        <sz val="11"/>
        <color theme="1"/>
        <rFont val="Calibri"/>
        <family val="2"/>
        <scheme val="minor"/>
      </rPr>
      <t xml:space="preserve">.1 </t>
    </r>
    <r>
      <rPr>
        <b/>
        <sz val="11"/>
        <color theme="1"/>
        <rFont val="Calibri"/>
        <family val="2"/>
        <scheme val="minor"/>
      </rPr>
      <t>=</t>
    </r>
  </si>
  <si>
    <r>
      <t>x</t>
    </r>
    <r>
      <rPr>
        <b/>
        <sz val="11"/>
        <color theme="1"/>
        <rFont val="Calibri"/>
        <family val="2"/>
      </rPr>
      <t>̂ =</t>
    </r>
  </si>
  <si>
    <t>SST =</t>
  </si>
  <si>
    <t>AF =</t>
  </si>
  <si>
    <t>SE =</t>
  </si>
  <si>
    <t>(a) One of the observers corresponds to non missing data</t>
  </si>
  <si>
    <r>
      <t>CD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</si>
  <si>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CD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</si>
  <si>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The treatment pairs (A,B), (A,C), (B,D), (C,D) are significantly different</t>
  </si>
  <si>
    <t>Replicates</t>
  </si>
  <si>
    <t>Now,</t>
  </si>
  <si>
    <t>We have that NPK is the confounded effect, so is is not estimable.</t>
  </si>
  <si>
    <t>Block Totals -</t>
  </si>
  <si>
    <t>Rep 1 :</t>
  </si>
  <si>
    <t>Rep 2 :</t>
  </si>
  <si>
    <t>Rep 3 :</t>
  </si>
  <si>
    <t>Rep 4 :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</si>
  <si>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</si>
  <si>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</si>
  <si>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Aritra Biswas, Group C, DOE Practical 1</t>
  </si>
  <si>
    <t>Aritra Biswas, Group C, DOE Practical 2</t>
  </si>
  <si>
    <t>Aritra Biswas, Group C, DOE Practical 3</t>
  </si>
  <si>
    <t>Aritra Biswas, Group C, DOE Practical 4</t>
  </si>
  <si>
    <t>Aritra Biswas, Group C, DOE Practical 5</t>
  </si>
  <si>
    <t>Aritra Biswas, Group C, DOE Practical 6</t>
  </si>
  <si>
    <t>Aritra Biswas, Group C, DOE Practical 7</t>
  </si>
  <si>
    <t>Aritra Biswas, Group C, DOE Practical 8</t>
  </si>
  <si>
    <t>Aritra Biswas, Group C, DOE Practical 9</t>
  </si>
  <si>
    <t>Aritra Biswas, Group C, DOE Practical 10</t>
  </si>
  <si>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</si>
  <si>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I</t>
  </si>
  <si>
    <t>II</t>
  </si>
  <si>
    <t>III</t>
  </si>
  <si>
    <t>IV</t>
  </si>
  <si>
    <t>V</t>
  </si>
  <si>
    <t>VI</t>
  </si>
  <si>
    <r>
      <t>ΣT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=</t>
    </r>
  </si>
  <si>
    <r>
      <t>Yates Table for a Partially Counded 2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Factorial Experiment</t>
    </r>
  </si>
  <si>
    <t>Trt Comb</t>
  </si>
  <si>
    <t>Trt Total</t>
  </si>
  <si>
    <t>Adj Factor</t>
  </si>
  <si>
    <t>Adj Total</t>
  </si>
  <si>
    <t xml:space="preserve"> =[G]</t>
  </si>
  <si>
    <t xml:space="preserve"> -</t>
  </si>
  <si>
    <t xml:space="preserve"> =C.F</t>
  </si>
  <si>
    <t xml:space="preserve"> =[K]</t>
  </si>
  <si>
    <t xml:space="preserve"> =SSK</t>
  </si>
  <si>
    <t xml:space="preserve"> =[P]</t>
  </si>
  <si>
    <t xml:space="preserve"> =SSP</t>
  </si>
  <si>
    <t>KP</t>
  </si>
  <si>
    <t xml:space="preserve"> =[KP]</t>
  </si>
  <si>
    <t xml:space="preserve"> =SSKP</t>
  </si>
  <si>
    <t xml:space="preserve"> =[N]</t>
  </si>
  <si>
    <t xml:space="preserve"> =SSN</t>
  </si>
  <si>
    <t xml:space="preserve"> =[NK]</t>
  </si>
  <si>
    <t xml:space="preserve"> =SSNK</t>
  </si>
  <si>
    <t xml:space="preserve"> =[PK]</t>
  </si>
  <si>
    <t xml:space="preserve"> =SSPK</t>
  </si>
  <si>
    <t xml:space="preserve"> =[NPK]</t>
  </si>
  <si>
    <t xml:space="preserve"> SSNPK</t>
  </si>
  <si>
    <t>C.F. =</t>
  </si>
  <si>
    <t>S.V</t>
  </si>
  <si>
    <t>d.f</t>
  </si>
  <si>
    <t>MS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</si>
  <si>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cal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</si>
  <si>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tab</t>
    </r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</si>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</sst>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12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1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2" fontId="1" fillId="0" borderId="1" xfId="0" applyNumberFormat="1" applyFont="1" applyBorder="1" applyAlignment="1">
      <alignment horizontal="center" vertical="center" wrapText="1"/>
    </xf>
    <xf numFmtId="12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4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38" xfId="0" applyFill="1" applyBorder="1" applyAlignment="1">
      <alignment horizont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0" fillId="3" borderId="38" xfId="0" applyFont="1" applyFill="1" applyBorder="1" applyAlignment="1">
      <alignment horizont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/>
    </xf>
    <xf numFmtId="0" fontId="0" fillId="0" borderId="0" xfId="0" applyBorder="1"/>
    <xf numFmtId="0" fontId="1" fillId="0" borderId="3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8" xfId="0" applyFont="1" applyBorder="1" applyAlignment="1">
      <alignment horizontal="left"/>
    </xf>
    <xf numFmtId="164" fontId="1" fillId="0" borderId="38" xfId="0" applyNumberFormat="1" applyFont="1" applyBorder="1" applyAlignment="1">
      <alignment horizontal="center"/>
    </xf>
    <xf numFmtId="0" fontId="1" fillId="0" borderId="53" xfId="0" applyFont="1" applyBorder="1" applyAlignment="1">
      <alignment horizontal="left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5" xfId="0" applyFont="1" applyBorder="1" applyAlignment="1">
      <alignment horizontal="left"/>
    </xf>
    <xf numFmtId="164" fontId="1" fillId="0" borderId="55" xfId="0" applyNumberFormat="1" applyFont="1" applyBorder="1" applyAlignment="1">
      <alignment horizontal="center"/>
    </xf>
    <xf numFmtId="0" fontId="1" fillId="0" borderId="56" xfId="0" applyFont="1" applyBorder="1" applyAlignment="1">
      <alignment horizontal="left"/>
    </xf>
    <xf numFmtId="0" fontId="1" fillId="0" borderId="0" xfId="0" applyFont="1" applyAlignment="1">
      <alignment horizontal="center"/>
    </xf>
    <xf numFmtId="164" fontId="1" fillId="0" borderId="44" xfId="0" applyNumberFormat="1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45" xfId="0" applyFont="1" applyBorder="1" applyAlignment="1">
      <alignment horizontal="center" vertical="center"/>
    </xf>
    <xf numFmtId="1" fontId="1" fillId="0" borderId="49" xfId="0" applyNumberFormat="1" applyFont="1" applyBorder="1" applyAlignment="1">
      <alignment horizontal="center"/>
    </xf>
    <xf numFmtId="165" fontId="1" fillId="0" borderId="55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53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54" xfId="0" applyFont="1" applyFill="1" applyBorder="1" applyAlignment="1">
      <alignment horizontal="center"/>
    </xf>
    <xf numFmtId="0" fontId="1" fillId="3" borderId="55" xfId="0" applyFont="1" applyFill="1" applyBorder="1" applyAlignment="1">
      <alignment horizontal="center"/>
    </xf>
    <xf numFmtId="0" fontId="1" fillId="0" borderId="56" xfId="0" applyFont="1" applyBorder="1" applyAlignment="1">
      <alignment horizontal="center"/>
    </xf>
    <xf numFmtId="166" fontId="1" fillId="0" borderId="56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733423</xdr:colOff>
      <xdr:row>19</xdr:row>
      <xdr:rowOff>152400</xdr:rowOff>
    </xdr:from>
    <xdr:to>
      <xdr:col>14</xdr:col>
      <xdr:colOff>38099</xdr:colOff>
      <xdr:row>33</xdr:row>
      <xdr:rowOff>47626</xdr:rowOff>
    </xdr:to>
    <xdr:sp macro="" textlink="">
      <xdr:nvSpPr>
        <xdr:cNvPr id="2" name="Double Bracket 1"/>
        <xdr:cNvSpPr/>
      </xdr:nvSpPr>
      <xdr:spPr>
        <a:xfrm>
          <a:off x="733423" y="3857625"/>
          <a:ext cx="5886451" cy="256222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N34" sqref="A1:XFD1048576"/>
    </sheetView>
  </sheetViews>
  <sheetFormatPr defaultRowHeight="15" x14ac:dyDescent="0.25"/>
  <cols>
    <col min="1" max="1" width="13.42578125" style="1" bestFit="1" customWidth="1"/>
    <col min="2" max="16384" width="9.140625" style="1"/>
  </cols>
  <sheetData>
    <row r="1" spans="1:9" ht="15.75" thickBot="1" x14ac:dyDescent="0.3">
      <c r="A1" s="85" t="s">
        <v>239</v>
      </c>
      <c r="B1" s="86"/>
      <c r="C1" s="86"/>
      <c r="D1" s="86"/>
      <c r="E1" s="87"/>
      <c r="F1" s="23"/>
    </row>
    <row r="4" spans="1:9" x14ac:dyDescent="0.25">
      <c r="A4" s="2" t="s">
        <v>7</v>
      </c>
      <c r="B4" s="3">
        <v>9</v>
      </c>
      <c r="D4" s="2" t="s">
        <v>4</v>
      </c>
      <c r="E4" s="10">
        <v>1</v>
      </c>
      <c r="F4" s="5">
        <v>1</v>
      </c>
      <c r="I4" s="2"/>
    </row>
    <row r="5" spans="1:9" x14ac:dyDescent="0.25">
      <c r="B5" s="3">
        <v>15</v>
      </c>
      <c r="E5" s="10">
        <v>1</v>
      </c>
      <c r="F5" s="5">
        <v>2</v>
      </c>
      <c r="G5" s="9"/>
      <c r="I5" s="2"/>
    </row>
    <row r="6" spans="1:9" x14ac:dyDescent="0.25">
      <c r="B6" s="3">
        <v>19</v>
      </c>
      <c r="E6" s="10">
        <v>1</v>
      </c>
      <c r="F6" s="5">
        <v>3</v>
      </c>
    </row>
    <row r="7" spans="1:9" x14ac:dyDescent="0.25">
      <c r="B7" s="3">
        <v>20</v>
      </c>
      <c r="E7" s="10">
        <v>1</v>
      </c>
      <c r="F7" s="5">
        <v>4</v>
      </c>
    </row>
    <row r="8" spans="1:9" x14ac:dyDescent="0.25">
      <c r="B8" s="3">
        <v>45</v>
      </c>
      <c r="E8" s="10">
        <v>1</v>
      </c>
      <c r="F8" s="5">
        <v>10</v>
      </c>
    </row>
    <row r="9" spans="1:9" x14ac:dyDescent="0.25">
      <c r="B9" s="3">
        <v>55</v>
      </c>
      <c r="E9" s="10">
        <v>1</v>
      </c>
      <c r="F9" s="5">
        <v>12</v>
      </c>
    </row>
    <row r="10" spans="1:9" x14ac:dyDescent="0.25">
      <c r="B10" s="3">
        <v>78</v>
      </c>
      <c r="E10" s="10">
        <v>1</v>
      </c>
      <c r="F10" s="5">
        <v>18</v>
      </c>
    </row>
    <row r="12" spans="1:9" x14ac:dyDescent="0.25">
      <c r="A12" s="2" t="s">
        <v>5</v>
      </c>
      <c r="B12" s="10">
        <f t="array" ref="B12:H13">TRANSPOSE(E4:F10)</f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5">
        <v>1</v>
      </c>
    </row>
    <row r="13" spans="1:9" x14ac:dyDescent="0.25">
      <c r="B13" s="10">
        <v>1</v>
      </c>
      <c r="C13" s="9">
        <v>2</v>
      </c>
      <c r="D13" s="9">
        <v>3</v>
      </c>
      <c r="E13" s="9">
        <v>4</v>
      </c>
      <c r="F13" s="9">
        <v>10</v>
      </c>
      <c r="G13" s="9">
        <v>12</v>
      </c>
      <c r="H13" s="5">
        <v>18</v>
      </c>
    </row>
    <row r="16" spans="1:9" ht="17.25" x14ac:dyDescent="0.25">
      <c r="A16" s="2" t="s">
        <v>6</v>
      </c>
      <c r="B16" s="10">
        <f t="array" ref="B16:C17">MMULT(B12:H13,E4:F10)</f>
        <v>7</v>
      </c>
      <c r="C16" s="5">
        <v>50</v>
      </c>
      <c r="E16" s="2" t="s">
        <v>10</v>
      </c>
      <c r="F16" s="10">
        <f t="array" ref="F16:G17">MINVERSE(B16:C17)</f>
        <v>0.35468564650059298</v>
      </c>
      <c r="G16" s="5">
        <v>-2.9655990510083025E-2</v>
      </c>
    </row>
    <row r="17" spans="1:9" x14ac:dyDescent="0.25">
      <c r="B17" s="10">
        <v>50</v>
      </c>
      <c r="C17" s="5">
        <v>598</v>
      </c>
      <c r="F17" s="10">
        <v>-2.9655990510083025E-2</v>
      </c>
      <c r="G17" s="5">
        <v>4.1518386714116239E-3</v>
      </c>
    </row>
    <row r="20" spans="1:9" x14ac:dyDescent="0.25">
      <c r="A20" s="2" t="s">
        <v>8</v>
      </c>
      <c r="B20" s="3">
        <f t="array" ref="B20:B21">MMULT(B12:H13,B4:B10)</f>
        <v>241</v>
      </c>
    </row>
    <row r="21" spans="1:9" x14ac:dyDescent="0.25">
      <c r="B21" s="3">
        <v>2690</v>
      </c>
    </row>
    <row r="23" spans="1:9" ht="18" x14ac:dyDescent="0.25">
      <c r="A23" s="12" t="s">
        <v>19</v>
      </c>
      <c r="B23" s="11" t="s">
        <v>2</v>
      </c>
      <c r="C23" s="1" t="s">
        <v>9</v>
      </c>
      <c r="D23" s="3">
        <f t="array" ref="D23:D24">MMULT(F16:G17,B20:B21)</f>
        <v>5.704626334519574</v>
      </c>
      <c r="F23" s="84" t="s">
        <v>18</v>
      </c>
      <c r="G23" s="84"/>
      <c r="H23" s="84"/>
      <c r="I23" s="84"/>
    </row>
    <row r="24" spans="1:9" x14ac:dyDescent="0.25">
      <c r="B24" s="11" t="s">
        <v>3</v>
      </c>
      <c r="D24" s="3">
        <v>4.0213523131672586</v>
      </c>
    </row>
    <row r="26" spans="1:9" ht="15.75" thickBot="1" x14ac:dyDescent="0.3"/>
    <row r="27" spans="1:9" ht="18.75" thickBot="1" x14ac:dyDescent="0.3">
      <c r="B27" s="7" t="s">
        <v>0</v>
      </c>
      <c r="C27" s="14" t="s">
        <v>1</v>
      </c>
      <c r="D27" s="14" t="s">
        <v>11</v>
      </c>
      <c r="E27" s="8" t="s">
        <v>12</v>
      </c>
    </row>
    <row r="28" spans="1:9" x14ac:dyDescent="0.25">
      <c r="B28" s="3">
        <v>9</v>
      </c>
      <c r="C28" s="5">
        <v>1</v>
      </c>
      <c r="D28" s="5">
        <f t="shared" ref="D28:D34" si="0">$D$23+$D$24*C28</f>
        <v>9.7259786476868335</v>
      </c>
      <c r="E28" s="5">
        <f>B28-D28</f>
        <v>-0.72597864768683351</v>
      </c>
    </row>
    <row r="29" spans="1:9" x14ac:dyDescent="0.25">
      <c r="B29" s="3">
        <v>15</v>
      </c>
      <c r="C29" s="5">
        <v>2</v>
      </c>
      <c r="D29" s="5">
        <f t="shared" si="0"/>
        <v>13.747330960854091</v>
      </c>
      <c r="E29" s="5">
        <f t="shared" ref="E29:E34" si="1">B29-D29</f>
        <v>1.2526690391459088</v>
      </c>
    </row>
    <row r="30" spans="1:9" x14ac:dyDescent="0.25">
      <c r="B30" s="3">
        <v>19</v>
      </c>
      <c r="C30" s="5">
        <v>3</v>
      </c>
      <c r="D30" s="5">
        <f t="shared" si="0"/>
        <v>17.768683274021349</v>
      </c>
      <c r="E30" s="5">
        <f t="shared" si="1"/>
        <v>1.231316725978651</v>
      </c>
    </row>
    <row r="31" spans="1:9" x14ac:dyDescent="0.25">
      <c r="B31" s="3">
        <v>20</v>
      </c>
      <c r="C31" s="5">
        <v>4</v>
      </c>
      <c r="D31" s="5">
        <f t="shared" si="0"/>
        <v>21.790035587188608</v>
      </c>
      <c r="E31" s="5">
        <f t="shared" si="1"/>
        <v>-1.7900355871886084</v>
      </c>
    </row>
    <row r="32" spans="1:9" x14ac:dyDescent="0.25">
      <c r="B32" s="3">
        <v>45</v>
      </c>
      <c r="C32" s="5">
        <v>10</v>
      </c>
      <c r="D32" s="5">
        <f t="shared" si="0"/>
        <v>45.918149466192162</v>
      </c>
      <c r="E32" s="5">
        <f t="shared" si="1"/>
        <v>-0.91814946619216187</v>
      </c>
    </row>
    <row r="33" spans="1:5" x14ac:dyDescent="0.25">
      <c r="B33" s="3">
        <v>55</v>
      </c>
      <c r="C33" s="5">
        <v>12</v>
      </c>
      <c r="D33" s="5">
        <f t="shared" si="0"/>
        <v>53.960854092526674</v>
      </c>
      <c r="E33" s="5">
        <f t="shared" si="1"/>
        <v>1.0391459074733262</v>
      </c>
    </row>
    <row r="34" spans="1:5" x14ac:dyDescent="0.25">
      <c r="B34" s="4">
        <v>78</v>
      </c>
      <c r="C34" s="6">
        <v>18</v>
      </c>
      <c r="D34" s="6">
        <f t="shared" si="0"/>
        <v>78.088967971530224</v>
      </c>
      <c r="E34" s="6">
        <f t="shared" si="1"/>
        <v>-8.8967971530223622E-2</v>
      </c>
    </row>
    <row r="36" spans="1:5" ht="18.75" thickBot="1" x14ac:dyDescent="0.3">
      <c r="A36" s="21" t="s">
        <v>16</v>
      </c>
      <c r="B36" s="20">
        <v>7</v>
      </c>
      <c r="C36" s="13" t="s">
        <v>13</v>
      </c>
      <c r="D36" s="1">
        <f>SUMSQ(E28:E34)</f>
        <v>8.7473309608541054</v>
      </c>
    </row>
    <row r="37" spans="1:5" ht="18" thickBot="1" x14ac:dyDescent="0.3">
      <c r="A37" s="21" t="s">
        <v>17</v>
      </c>
      <c r="B37" s="20">
        <v>2</v>
      </c>
      <c r="C37" s="15" t="s">
        <v>14</v>
      </c>
      <c r="D37" s="16">
        <f>D36/(7-2)</f>
        <v>1.749466192170821</v>
      </c>
    </row>
  </sheetData>
  <mergeCells count="2">
    <mergeCell ref="F23:I23"/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7" workbookViewId="0">
      <selection activeCell="A42" sqref="A42"/>
    </sheetView>
  </sheetViews>
  <sheetFormatPr defaultRowHeight="15" x14ac:dyDescent="0.25"/>
  <cols>
    <col min="1" max="1" width="10" style="1" bestFit="1" customWidth="1"/>
    <col min="2" max="16384" width="9.140625" style="1"/>
  </cols>
  <sheetData>
    <row r="1" spans="1:9" ht="15.75" thickBot="1" x14ac:dyDescent="0.3">
      <c r="A1" s="89" t="s">
        <v>240</v>
      </c>
      <c r="B1" s="90"/>
      <c r="C1" s="90"/>
      <c r="D1" s="90"/>
      <c r="E1" s="91"/>
    </row>
    <row r="3" spans="1:9" ht="18" x14ac:dyDescent="0.25">
      <c r="A3" s="2" t="s">
        <v>7</v>
      </c>
      <c r="B3" s="3" t="s">
        <v>20</v>
      </c>
      <c r="F3" s="2" t="s">
        <v>4</v>
      </c>
      <c r="G3" s="10">
        <v>1</v>
      </c>
      <c r="H3" s="9">
        <v>1</v>
      </c>
      <c r="I3" s="5">
        <v>1</v>
      </c>
    </row>
    <row r="4" spans="1:9" ht="18" x14ac:dyDescent="0.25">
      <c r="B4" s="3" t="s">
        <v>21</v>
      </c>
      <c r="G4" s="10">
        <v>1</v>
      </c>
      <c r="H4" s="9">
        <v>0</v>
      </c>
      <c r="I4" s="5">
        <v>1</v>
      </c>
    </row>
    <row r="5" spans="1:9" ht="18" x14ac:dyDescent="0.25">
      <c r="B5" s="3" t="s">
        <v>22</v>
      </c>
      <c r="G5" s="10">
        <v>0</v>
      </c>
      <c r="H5" s="9">
        <v>1</v>
      </c>
      <c r="I5" s="5">
        <v>0</v>
      </c>
    </row>
    <row r="7" spans="1:9" x14ac:dyDescent="0.25">
      <c r="A7" s="2" t="s">
        <v>5</v>
      </c>
      <c r="B7" s="10">
        <f t="array" ref="B7:D9">TRANSPOSE(G3:I5)</f>
        <v>1</v>
      </c>
      <c r="C7" s="9">
        <v>1</v>
      </c>
      <c r="D7" s="5">
        <v>0</v>
      </c>
      <c r="F7" s="2" t="s">
        <v>23</v>
      </c>
      <c r="G7" s="10">
        <f t="array" ref="G7:I9">MMULT(B7:D9,G3:I5)</f>
        <v>2</v>
      </c>
      <c r="H7" s="9">
        <v>1</v>
      </c>
      <c r="I7" s="5">
        <v>2</v>
      </c>
    </row>
    <row r="8" spans="1:9" x14ac:dyDescent="0.25">
      <c r="B8" s="10">
        <v>1</v>
      </c>
      <c r="C8" s="9">
        <v>0</v>
      </c>
      <c r="D8" s="5">
        <v>1</v>
      </c>
      <c r="G8" s="10">
        <v>1</v>
      </c>
      <c r="H8" s="9">
        <v>2</v>
      </c>
      <c r="I8" s="5">
        <v>1</v>
      </c>
    </row>
    <row r="9" spans="1:9" x14ac:dyDescent="0.25">
      <c r="B9" s="10">
        <v>1</v>
      </c>
      <c r="C9" s="9">
        <v>1</v>
      </c>
      <c r="D9" s="5">
        <v>0</v>
      </c>
      <c r="G9" s="10">
        <v>2</v>
      </c>
      <c r="H9" s="9">
        <v>1</v>
      </c>
      <c r="I9" s="5">
        <v>2</v>
      </c>
    </row>
    <row r="11" spans="1:9" x14ac:dyDescent="0.25">
      <c r="A11" s="2" t="s">
        <v>24</v>
      </c>
      <c r="B11" s="20">
        <f>MDETERM(G7:I9)</f>
        <v>0</v>
      </c>
      <c r="C11" s="88" t="s">
        <v>25</v>
      </c>
      <c r="D11" s="92"/>
      <c r="E11" s="92"/>
      <c r="F11" s="92"/>
    </row>
    <row r="13" spans="1:9" x14ac:dyDescent="0.25">
      <c r="A13" s="2" t="s">
        <v>26</v>
      </c>
      <c r="B13" s="10">
        <f t="array" ref="B13:C14">TRANSPOSE(MINVERSE(G7:H8))</f>
        <v>0.66666666666666663</v>
      </c>
      <c r="C13" s="9">
        <v>-0.33333333333333331</v>
      </c>
      <c r="D13" s="5">
        <v>0</v>
      </c>
    </row>
    <row r="14" spans="1:9" x14ac:dyDescent="0.25">
      <c r="B14" s="10">
        <v>-0.33333333333333331</v>
      </c>
      <c r="C14" s="9">
        <v>0.66666666666666663</v>
      </c>
      <c r="D14" s="5">
        <v>0</v>
      </c>
    </row>
    <row r="15" spans="1:9" x14ac:dyDescent="0.25">
      <c r="B15" s="10">
        <v>0</v>
      </c>
      <c r="C15" s="9">
        <v>0</v>
      </c>
      <c r="D15" s="5">
        <v>0</v>
      </c>
    </row>
    <row r="17" spans="1:9" x14ac:dyDescent="0.25">
      <c r="A17" s="2" t="s">
        <v>27</v>
      </c>
      <c r="B17" s="10">
        <f t="array" ref="B17:D19">MMULT(B13:D15,G7:I9)</f>
        <v>1</v>
      </c>
      <c r="C17" s="9">
        <v>0</v>
      </c>
      <c r="D17" s="5">
        <v>1</v>
      </c>
      <c r="F17" s="2" t="s">
        <v>29</v>
      </c>
      <c r="G17" s="10">
        <v>1</v>
      </c>
      <c r="H17" s="9">
        <v>-2</v>
      </c>
      <c r="I17" s="5">
        <v>1</v>
      </c>
    </row>
    <row r="18" spans="1:9" x14ac:dyDescent="0.25">
      <c r="B18" s="10">
        <v>0</v>
      </c>
      <c r="C18" s="9">
        <v>1</v>
      </c>
      <c r="D18" s="5">
        <v>0</v>
      </c>
    </row>
    <row r="19" spans="1:9" x14ac:dyDescent="0.25">
      <c r="B19" s="10">
        <v>0</v>
      </c>
      <c r="C19" s="9">
        <v>0</v>
      </c>
      <c r="D19" s="5">
        <v>0</v>
      </c>
    </row>
    <row r="21" spans="1:9" x14ac:dyDescent="0.25">
      <c r="A21" s="2" t="s">
        <v>30</v>
      </c>
      <c r="B21" s="10">
        <f t="array" ref="B21:D21">MMULT(G17:I17,B17:D19)</f>
        <v>1</v>
      </c>
      <c r="C21" s="9">
        <v>-2</v>
      </c>
      <c r="D21" s="5">
        <v>1</v>
      </c>
      <c r="E21" s="1" t="s">
        <v>31</v>
      </c>
      <c r="F21" s="24" t="s">
        <v>28</v>
      </c>
    </row>
    <row r="22" spans="1:9" x14ac:dyDescent="0.25">
      <c r="E22" s="88" t="s">
        <v>32</v>
      </c>
      <c r="F22" s="88"/>
      <c r="G22" s="88"/>
      <c r="H22" s="88"/>
      <c r="I22" s="88"/>
    </row>
    <row r="24" spans="1:9" x14ac:dyDescent="0.25">
      <c r="A24" s="2" t="s">
        <v>34</v>
      </c>
      <c r="B24" s="10">
        <f t="array" ref="B24:D24">MMULT(G17:I17,B13:D15)</f>
        <v>1.3333333333333333</v>
      </c>
      <c r="C24" s="9">
        <v>-1.6666666666666665</v>
      </c>
      <c r="D24" s="5">
        <v>0</v>
      </c>
    </row>
    <row r="26" spans="1:9" ht="18" x14ac:dyDescent="0.25">
      <c r="A26" s="2" t="s">
        <v>35</v>
      </c>
      <c r="B26" s="3" t="s">
        <v>37</v>
      </c>
      <c r="E26" s="21" t="s">
        <v>33</v>
      </c>
      <c r="F26" s="2" t="s">
        <v>36</v>
      </c>
      <c r="G26" s="93" t="s">
        <v>44</v>
      </c>
      <c r="H26" s="93"/>
      <c r="I26" s="93"/>
    </row>
    <row r="27" spans="1:9" ht="18" x14ac:dyDescent="0.25">
      <c r="B27" s="3" t="s">
        <v>38</v>
      </c>
    </row>
    <row r="28" spans="1:9" ht="18" x14ac:dyDescent="0.25">
      <c r="B28" s="3" t="s">
        <v>39</v>
      </c>
    </row>
    <row r="30" spans="1:9" x14ac:dyDescent="0.25">
      <c r="A30" s="2" t="s">
        <v>40</v>
      </c>
      <c r="B30" s="10">
        <f t="array" ref="B30:D32">MMULT(MMULT(G3:I5,B13:D15),B7:D9)</f>
        <v>0.66666666666666663</v>
      </c>
      <c r="C30" s="9">
        <v>0.33333333333333331</v>
      </c>
      <c r="D30" s="5">
        <v>0.33333333333333331</v>
      </c>
      <c r="F30" s="2" t="s">
        <v>41</v>
      </c>
      <c r="G30" s="1">
        <f t="array" ref="G30">MMULT(B24:D24,TRANSPOSE(G17:I17))</f>
        <v>4.6666666666666661</v>
      </c>
    </row>
    <row r="31" spans="1:9" x14ac:dyDescent="0.25">
      <c r="B31" s="10">
        <v>0.33333333333333331</v>
      </c>
      <c r="C31" s="9">
        <v>0.66666666666666663</v>
      </c>
      <c r="D31" s="5">
        <v>-0.33333333333333331</v>
      </c>
    </row>
    <row r="32" spans="1:9" x14ac:dyDescent="0.25">
      <c r="B32" s="10">
        <v>0.33333333333333331</v>
      </c>
      <c r="C32" s="9">
        <v>-0.33333333333333331</v>
      </c>
      <c r="D32" s="5">
        <v>0.66666666666666663</v>
      </c>
    </row>
    <row r="34" spans="1:9" x14ac:dyDescent="0.25">
      <c r="A34" s="2" t="s">
        <v>43</v>
      </c>
      <c r="B34" s="10">
        <v>1</v>
      </c>
      <c r="C34" s="9">
        <v>0</v>
      </c>
      <c r="D34" s="5">
        <v>0</v>
      </c>
      <c r="F34" s="2" t="s">
        <v>42</v>
      </c>
      <c r="G34" s="10">
        <f>B34-B30</f>
        <v>0.33333333333333337</v>
      </c>
      <c r="H34" s="9">
        <f t="shared" ref="H34:I34" si="0">C34-C30</f>
        <v>-0.33333333333333331</v>
      </c>
      <c r="I34" s="5">
        <f t="shared" si="0"/>
        <v>-0.33333333333333331</v>
      </c>
    </row>
    <row r="35" spans="1:9" x14ac:dyDescent="0.25">
      <c r="B35" s="10">
        <v>0</v>
      </c>
      <c r="C35" s="9">
        <v>1</v>
      </c>
      <c r="D35" s="5">
        <v>0</v>
      </c>
      <c r="G35" s="10">
        <f t="shared" ref="G35:G36" si="1">B35-B31</f>
        <v>-0.33333333333333331</v>
      </c>
      <c r="H35" s="9">
        <f t="shared" ref="H35:H36" si="2">C35-C31</f>
        <v>0.33333333333333337</v>
      </c>
      <c r="I35" s="5">
        <f t="shared" ref="I35:I36" si="3">D35-D31</f>
        <v>0.33333333333333331</v>
      </c>
    </row>
    <row r="36" spans="1:9" x14ac:dyDescent="0.25">
      <c r="B36" s="10">
        <v>0</v>
      </c>
      <c r="C36" s="9">
        <v>0</v>
      </c>
      <c r="D36" s="5">
        <v>1</v>
      </c>
      <c r="G36" s="10">
        <f t="shared" si="1"/>
        <v>-0.33333333333333331</v>
      </c>
      <c r="H36" s="9">
        <f t="shared" si="2"/>
        <v>0.33333333333333331</v>
      </c>
      <c r="I36" s="5">
        <f t="shared" si="3"/>
        <v>0.33333333333333337</v>
      </c>
    </row>
    <row r="38" spans="1:9" ht="18" customHeight="1" x14ac:dyDescent="0.25">
      <c r="A38" s="2" t="s">
        <v>45</v>
      </c>
      <c r="B38" s="88" t="s">
        <v>46</v>
      </c>
      <c r="C38" s="88"/>
    </row>
    <row r="40" spans="1:9" ht="19.5" customHeight="1" x14ac:dyDescent="0.25">
      <c r="A40" s="2" t="s">
        <v>47</v>
      </c>
      <c r="B40" s="88" t="s">
        <v>48</v>
      </c>
      <c r="C40" s="88"/>
    </row>
  </sheetData>
  <mergeCells count="6">
    <mergeCell ref="B40:C40"/>
    <mergeCell ref="A1:E1"/>
    <mergeCell ref="C11:F11"/>
    <mergeCell ref="E22:I22"/>
    <mergeCell ref="G26:I26"/>
    <mergeCell ref="B38:C3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12" sqref="I12"/>
    </sheetView>
  </sheetViews>
  <sheetFormatPr defaultRowHeight="15" x14ac:dyDescent="0.25"/>
  <cols>
    <col min="1" max="1" width="11" style="1" customWidth="1"/>
    <col min="2" max="2" width="10" style="1" bestFit="1" customWidth="1"/>
    <col min="3" max="3" width="9.140625" style="1"/>
    <col min="4" max="4" width="10.85546875" style="1" customWidth="1"/>
    <col min="5" max="5" width="9.140625" style="1" customWidth="1"/>
    <col min="6" max="16384" width="9.140625" style="1"/>
  </cols>
  <sheetData>
    <row r="1" spans="1:6" ht="15.75" thickBot="1" x14ac:dyDescent="0.3">
      <c r="A1" s="89" t="s">
        <v>241</v>
      </c>
      <c r="B1" s="90"/>
      <c r="C1" s="90"/>
      <c r="D1" s="90"/>
      <c r="E1" s="91"/>
    </row>
    <row r="2" spans="1:6" ht="15.75" thickBot="1" x14ac:dyDescent="0.3"/>
    <row r="3" spans="1:6" ht="18.75" thickBot="1" x14ac:dyDescent="0.3">
      <c r="B3" s="7" t="s">
        <v>49</v>
      </c>
      <c r="C3" s="14" t="s">
        <v>50</v>
      </c>
      <c r="D3" s="14" t="s">
        <v>51</v>
      </c>
      <c r="E3" s="14" t="s">
        <v>52</v>
      </c>
      <c r="F3" s="8" t="s">
        <v>53</v>
      </c>
    </row>
    <row r="4" spans="1:6" x14ac:dyDescent="0.25">
      <c r="B4" s="28">
        <v>1690</v>
      </c>
      <c r="C4" s="5">
        <v>1550</v>
      </c>
      <c r="D4" s="5">
        <v>1625</v>
      </c>
      <c r="E4" s="5">
        <v>1725</v>
      </c>
      <c r="F4" s="18">
        <v>1530</v>
      </c>
    </row>
    <row r="5" spans="1:6" x14ac:dyDescent="0.25">
      <c r="B5" s="28">
        <v>1580</v>
      </c>
      <c r="C5" s="5">
        <v>1445</v>
      </c>
      <c r="D5" s="5">
        <v>1450</v>
      </c>
      <c r="E5" s="5">
        <v>1550</v>
      </c>
      <c r="F5" s="18">
        <v>1545</v>
      </c>
    </row>
    <row r="6" spans="1:6" x14ac:dyDescent="0.25">
      <c r="B6" s="28">
        <v>1745</v>
      </c>
      <c r="C6" s="5">
        <v>1645</v>
      </c>
      <c r="D6" s="5">
        <v>1510</v>
      </c>
      <c r="E6" s="5">
        <v>1430</v>
      </c>
      <c r="F6" s="18">
        <v>1665</v>
      </c>
    </row>
    <row r="7" spans="1:6" ht="15.75" thickBot="1" x14ac:dyDescent="0.3">
      <c r="B7" s="29">
        <v>1685</v>
      </c>
      <c r="C7" s="31">
        <v>1545</v>
      </c>
      <c r="D7" s="31"/>
      <c r="E7" s="31">
        <v>1445</v>
      </c>
      <c r="F7" s="19">
        <v>1520</v>
      </c>
    </row>
    <row r="8" spans="1:6" ht="18" x14ac:dyDescent="0.25">
      <c r="A8" s="26" t="s">
        <v>54</v>
      </c>
      <c r="B8" s="30">
        <v>4</v>
      </c>
      <c r="C8" s="32">
        <v>4</v>
      </c>
      <c r="D8" s="32">
        <v>3</v>
      </c>
      <c r="E8" s="32">
        <v>4</v>
      </c>
      <c r="F8" s="17">
        <v>4</v>
      </c>
    </row>
    <row r="9" spans="1:6" ht="18" x14ac:dyDescent="0.25">
      <c r="A9" s="33" t="s">
        <v>60</v>
      </c>
      <c r="B9" s="34">
        <f>SUM(B4:B7)</f>
        <v>6700</v>
      </c>
      <c r="C9" s="35">
        <f t="shared" ref="C9:F9" si="0">SUM(C4:C7)</f>
        <v>6185</v>
      </c>
      <c r="D9" s="35">
        <f>SUM(D4:D6)</f>
        <v>4585</v>
      </c>
      <c r="E9" s="35">
        <f t="shared" si="0"/>
        <v>6150</v>
      </c>
      <c r="F9" s="36">
        <f t="shared" si="0"/>
        <v>6260</v>
      </c>
    </row>
    <row r="10" spans="1:6" ht="18.75" thickBot="1" x14ac:dyDescent="0.3">
      <c r="A10" s="27" t="s">
        <v>61</v>
      </c>
      <c r="B10" s="29">
        <f>B9^2/B8</f>
        <v>11222500</v>
      </c>
      <c r="C10" s="31">
        <f t="shared" ref="C10:F10" si="1">C9^2/C8</f>
        <v>9563556.25</v>
      </c>
      <c r="D10" s="31">
        <f t="shared" si="1"/>
        <v>7007408.333333333</v>
      </c>
      <c r="E10" s="31">
        <f t="shared" si="1"/>
        <v>9455625</v>
      </c>
      <c r="F10" s="19">
        <f t="shared" si="1"/>
        <v>9796900</v>
      </c>
    </row>
    <row r="12" spans="1:6" x14ac:dyDescent="0.25">
      <c r="A12" s="2" t="s">
        <v>15</v>
      </c>
      <c r="B12" s="1">
        <f>SUM(B8:F8)</f>
        <v>19</v>
      </c>
      <c r="D12" s="2" t="s">
        <v>57</v>
      </c>
      <c r="E12" s="1">
        <f>B15/B12</f>
        <v>46990231.578947365</v>
      </c>
    </row>
    <row r="13" spans="1:6" x14ac:dyDescent="0.25">
      <c r="A13" s="2" t="s">
        <v>62</v>
      </c>
      <c r="B13" s="1">
        <v>5</v>
      </c>
      <c r="D13" s="2" t="s">
        <v>58</v>
      </c>
      <c r="E13" s="1">
        <f>SUMSQ(B4:F7)-E12</f>
        <v>174918.42105263472</v>
      </c>
    </row>
    <row r="14" spans="1:6" x14ac:dyDescent="0.25">
      <c r="A14" s="2" t="s">
        <v>55</v>
      </c>
      <c r="B14" s="1">
        <f>SUM(B4:F7)</f>
        <v>29880</v>
      </c>
      <c r="D14" s="2" t="s">
        <v>59</v>
      </c>
      <c r="E14" s="1">
        <f>SUM(B10:F10)-E12</f>
        <v>55758.004385963082</v>
      </c>
    </row>
    <row r="15" spans="1:6" ht="17.25" x14ac:dyDescent="0.25">
      <c r="A15" s="2" t="s">
        <v>56</v>
      </c>
      <c r="B15" s="1">
        <f>B14^2</f>
        <v>892814400</v>
      </c>
      <c r="D15" s="2" t="s">
        <v>63</v>
      </c>
      <c r="E15" s="1">
        <f>E13-E14</f>
        <v>119160.41666667163</v>
      </c>
    </row>
    <row r="16" spans="1:6" ht="15.75" thickBot="1" x14ac:dyDescent="0.3"/>
    <row r="17" spans="2:6" ht="15.75" thickBot="1" x14ac:dyDescent="0.3">
      <c r="B17" s="89" t="s">
        <v>64</v>
      </c>
      <c r="C17" s="90"/>
      <c r="D17" s="90"/>
      <c r="E17" s="90"/>
      <c r="F17" s="91"/>
    </row>
    <row r="18" spans="2:6" x14ac:dyDescent="0.25">
      <c r="B18" s="94" t="s">
        <v>65</v>
      </c>
      <c r="C18" s="96" t="s">
        <v>66</v>
      </c>
      <c r="D18" s="96" t="s">
        <v>67</v>
      </c>
      <c r="E18" s="96" t="s">
        <v>68</v>
      </c>
      <c r="F18" s="98" t="s">
        <v>69</v>
      </c>
    </row>
    <row r="19" spans="2:6" ht="15.75" thickBot="1" x14ac:dyDescent="0.3">
      <c r="B19" s="95"/>
      <c r="C19" s="97"/>
      <c r="D19" s="97"/>
      <c r="E19" s="97"/>
      <c r="F19" s="99"/>
    </row>
    <row r="20" spans="2:6" x14ac:dyDescent="0.25">
      <c r="B20" s="11" t="s">
        <v>70</v>
      </c>
      <c r="C20" s="5">
        <v>4</v>
      </c>
      <c r="D20" s="5">
        <f>E14</f>
        <v>55758.004385963082</v>
      </c>
      <c r="E20" s="5">
        <f>D20/C20</f>
        <v>13939.501096490771</v>
      </c>
      <c r="F20" s="5">
        <f>E20/E21</f>
        <v>1.6377335763836227</v>
      </c>
    </row>
    <row r="21" spans="2:6" x14ac:dyDescent="0.25">
      <c r="B21" s="11" t="s">
        <v>71</v>
      </c>
      <c r="C21" s="5">
        <v>14</v>
      </c>
      <c r="D21" s="5">
        <f>E15</f>
        <v>119160.41666667163</v>
      </c>
      <c r="E21" s="5">
        <f>D21/C21</f>
        <v>8511.4583333336886</v>
      </c>
      <c r="F21" s="5"/>
    </row>
    <row r="22" spans="2:6" x14ac:dyDescent="0.25">
      <c r="B22" s="25" t="s">
        <v>72</v>
      </c>
      <c r="C22" s="6">
        <v>18</v>
      </c>
      <c r="D22" s="6">
        <f>E13</f>
        <v>174918.42105263472</v>
      </c>
      <c r="E22" s="6"/>
      <c r="F22" s="6"/>
    </row>
    <row r="24" spans="2:6" x14ac:dyDescent="0.25">
      <c r="B24" s="2" t="s">
        <v>73</v>
      </c>
      <c r="C24" s="1">
        <f>FDIST(F20,4,14)</f>
        <v>0.22001923276314672</v>
      </c>
    </row>
    <row r="25" spans="2:6" x14ac:dyDescent="0.25">
      <c r="B25" s="12" t="s">
        <v>74</v>
      </c>
      <c r="C25" s="1">
        <v>0.05</v>
      </c>
    </row>
    <row r="26" spans="2:6" ht="18.75" customHeight="1" x14ac:dyDescent="0.25">
      <c r="B26" s="84" t="s">
        <v>75</v>
      </c>
      <c r="C26" s="84"/>
      <c r="D26" s="84"/>
    </row>
  </sheetData>
  <mergeCells count="8">
    <mergeCell ref="B26:D26"/>
    <mergeCell ref="A1:E1"/>
    <mergeCell ref="B17:F17"/>
    <mergeCell ref="B18:B19"/>
    <mergeCell ref="C18:C19"/>
    <mergeCell ref="D18:D19"/>
    <mergeCell ref="E18:E19"/>
    <mergeCell ref="F18:F19"/>
  </mergeCells>
  <pageMargins left="0.7" right="0.7" top="0.75" bottom="0.75" header="0.3" footer="0.3"/>
  <pageSetup orientation="portrait" verticalDpi="0" r:id="rId1"/>
  <ignoredErrors>
    <ignoredError sqref="B9:C9 E9:F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N15" sqref="N15"/>
    </sheetView>
  </sheetViews>
  <sheetFormatPr defaultRowHeight="15" x14ac:dyDescent="0.25"/>
  <cols>
    <col min="1" max="1" width="11" style="1" customWidth="1"/>
    <col min="2" max="16384" width="9.140625" style="1"/>
  </cols>
  <sheetData>
    <row r="1" spans="1:8" ht="15.75" thickBot="1" x14ac:dyDescent="0.3">
      <c r="A1" s="89" t="s">
        <v>242</v>
      </c>
      <c r="B1" s="90"/>
      <c r="C1" s="90"/>
      <c r="D1" s="90"/>
      <c r="E1" s="91"/>
    </row>
    <row r="2" spans="1:8" ht="15.75" thickBot="1" x14ac:dyDescent="0.3"/>
    <row r="3" spans="1:8" ht="15.75" thickBot="1" x14ac:dyDescent="0.3">
      <c r="B3" s="89" t="s">
        <v>76</v>
      </c>
      <c r="C3" s="90"/>
      <c r="D3" s="90"/>
      <c r="E3" s="91"/>
      <c r="F3" s="2"/>
    </row>
    <row r="4" spans="1:8" ht="18.75" thickBot="1" x14ac:dyDescent="0.3">
      <c r="A4" s="45" t="s">
        <v>87</v>
      </c>
      <c r="B4" s="44">
        <v>1</v>
      </c>
      <c r="C4" s="44">
        <v>2</v>
      </c>
      <c r="D4" s="44">
        <v>3</v>
      </c>
      <c r="E4" s="44">
        <v>4</v>
      </c>
      <c r="F4" s="45" t="s">
        <v>78</v>
      </c>
      <c r="G4" s="45" t="s">
        <v>95</v>
      </c>
    </row>
    <row r="5" spans="1:8" x14ac:dyDescent="0.25">
      <c r="A5" s="46">
        <v>1</v>
      </c>
      <c r="B5" s="9">
        <v>6.9</v>
      </c>
      <c r="C5" s="9">
        <v>4.5999999999999996</v>
      </c>
      <c r="D5" s="9">
        <v>4.4000000000000004</v>
      </c>
      <c r="E5" s="9">
        <v>4.8099999999999996</v>
      </c>
      <c r="F5" s="49">
        <f>SUM(B5:E5)</f>
        <v>20.71</v>
      </c>
      <c r="G5" s="53">
        <v>5.1775000000000002</v>
      </c>
    </row>
    <row r="6" spans="1:8" x14ac:dyDescent="0.25">
      <c r="A6" s="46">
        <v>2</v>
      </c>
      <c r="B6" s="9">
        <v>6.48</v>
      </c>
      <c r="C6" s="9">
        <v>5.57</v>
      </c>
      <c r="D6" s="9">
        <v>4.28</v>
      </c>
      <c r="E6" s="9">
        <v>4.45</v>
      </c>
      <c r="F6" s="49">
        <f t="shared" ref="F6:F11" si="0">SUM(B6:E6)</f>
        <v>20.78</v>
      </c>
      <c r="G6" s="49">
        <v>5.1950000000000003</v>
      </c>
    </row>
    <row r="7" spans="1:8" x14ac:dyDescent="0.25">
      <c r="A7" s="46">
        <v>3</v>
      </c>
      <c r="B7" s="9">
        <v>6.52</v>
      </c>
      <c r="C7" s="9">
        <v>7.6</v>
      </c>
      <c r="D7" s="9">
        <v>5.3</v>
      </c>
      <c r="E7" s="9">
        <v>5.3</v>
      </c>
      <c r="F7" s="49">
        <f t="shared" si="0"/>
        <v>24.72</v>
      </c>
      <c r="G7" s="49">
        <v>6.18</v>
      </c>
    </row>
    <row r="8" spans="1:8" x14ac:dyDescent="0.25">
      <c r="A8" s="46">
        <v>4</v>
      </c>
      <c r="B8" s="9">
        <v>6.9</v>
      </c>
      <c r="C8" s="9">
        <v>6.67</v>
      </c>
      <c r="D8" s="9">
        <v>6.75</v>
      </c>
      <c r="E8" s="9">
        <v>7.75</v>
      </c>
      <c r="F8" s="49">
        <f t="shared" si="0"/>
        <v>28.07</v>
      </c>
      <c r="G8" s="49">
        <v>7.0175000000000001</v>
      </c>
    </row>
    <row r="9" spans="1:8" x14ac:dyDescent="0.25">
      <c r="A9" s="46">
        <v>5</v>
      </c>
      <c r="B9" s="9">
        <v>6</v>
      </c>
      <c r="C9" s="9">
        <v>6.18</v>
      </c>
      <c r="D9" s="9">
        <v>5.5</v>
      </c>
      <c r="E9" s="9">
        <v>5.5</v>
      </c>
      <c r="F9" s="49">
        <f t="shared" si="0"/>
        <v>23.18</v>
      </c>
      <c r="G9" s="49">
        <v>5.7949999999999999</v>
      </c>
    </row>
    <row r="10" spans="1:8" ht="15.75" thickBot="1" x14ac:dyDescent="0.3">
      <c r="A10" s="46">
        <v>6</v>
      </c>
      <c r="B10" s="9">
        <v>7.9</v>
      </c>
      <c r="C10" s="9">
        <v>6.57</v>
      </c>
      <c r="D10" s="9">
        <v>6.8</v>
      </c>
      <c r="E10" s="9">
        <v>6.62</v>
      </c>
      <c r="F10" s="49">
        <f t="shared" si="0"/>
        <v>27.89</v>
      </c>
      <c r="G10" s="52">
        <v>6.9725000000000001</v>
      </c>
    </row>
    <row r="11" spans="1:8" ht="18.75" thickBot="1" x14ac:dyDescent="0.3">
      <c r="A11" s="45" t="s">
        <v>77</v>
      </c>
      <c r="B11" s="47">
        <f>SUM(B5:B10)</f>
        <v>40.699999999999996</v>
      </c>
      <c r="C11" s="48">
        <f t="shared" ref="C11:E11" si="1">SUM(C5:C10)</f>
        <v>37.19</v>
      </c>
      <c r="D11" s="48">
        <f t="shared" si="1"/>
        <v>33.03</v>
      </c>
      <c r="E11" s="48">
        <f t="shared" si="1"/>
        <v>34.43</v>
      </c>
      <c r="F11" s="50">
        <f t="shared" si="0"/>
        <v>145.35</v>
      </c>
      <c r="G11" s="9"/>
    </row>
    <row r="13" spans="1:8" x14ac:dyDescent="0.25">
      <c r="A13" s="2" t="s">
        <v>79</v>
      </c>
      <c r="B13" s="1">
        <v>6</v>
      </c>
      <c r="C13" s="2" t="s">
        <v>58</v>
      </c>
      <c r="D13" s="1">
        <f>SUMSQ(B5:E10)-B16</f>
        <v>26.632362499999999</v>
      </c>
      <c r="E13" s="2" t="s">
        <v>66</v>
      </c>
      <c r="F13" s="1">
        <v>23</v>
      </c>
    </row>
    <row r="14" spans="1:8" x14ac:dyDescent="0.25">
      <c r="A14" s="2" t="s">
        <v>80</v>
      </c>
      <c r="B14" s="1">
        <v>4</v>
      </c>
      <c r="C14" s="2" t="s">
        <v>59</v>
      </c>
      <c r="D14" s="1">
        <f>SUMSQ(F5:F10)/B14-B16</f>
        <v>13.444137500000011</v>
      </c>
      <c r="E14" s="2" t="s">
        <v>66</v>
      </c>
      <c r="F14" s="1">
        <v>5</v>
      </c>
      <c r="G14" s="2" t="s">
        <v>82</v>
      </c>
      <c r="H14" s="1">
        <f>D14/F14</f>
        <v>2.6888275000000021</v>
      </c>
    </row>
    <row r="15" spans="1:8" x14ac:dyDescent="0.25">
      <c r="A15" s="2" t="s">
        <v>15</v>
      </c>
      <c r="B15" s="1">
        <v>24</v>
      </c>
      <c r="C15" s="2" t="s">
        <v>81</v>
      </c>
      <c r="D15" s="1">
        <f>SUMSQ(B11:E11)/B13-B16</f>
        <v>5.7227124999999432</v>
      </c>
      <c r="E15" s="2" t="s">
        <v>66</v>
      </c>
      <c r="F15" s="1">
        <v>3</v>
      </c>
      <c r="G15" s="2" t="s">
        <v>83</v>
      </c>
      <c r="H15" s="1">
        <f>D15/F15</f>
        <v>1.9075708333333143</v>
      </c>
    </row>
    <row r="16" spans="1:8" x14ac:dyDescent="0.25">
      <c r="A16" s="2" t="s">
        <v>57</v>
      </c>
      <c r="B16" s="1">
        <f>F11^2/B15</f>
        <v>880.27593749999994</v>
      </c>
      <c r="C16" s="2" t="s">
        <v>63</v>
      </c>
      <c r="D16" s="1">
        <f>D13-D15-D14</f>
        <v>7.4655125000000453</v>
      </c>
      <c r="E16" s="2" t="s">
        <v>66</v>
      </c>
      <c r="F16" s="1">
        <v>15</v>
      </c>
      <c r="G16" s="2" t="s">
        <v>84</v>
      </c>
      <c r="H16" s="1">
        <f>D16/F16</f>
        <v>0.49770083333333637</v>
      </c>
    </row>
    <row r="18" spans="1:7" ht="15.75" thickBot="1" x14ac:dyDescent="0.3"/>
    <row r="19" spans="1:7" ht="15.75" customHeight="1" thickBot="1" x14ac:dyDescent="0.3">
      <c r="A19" s="89" t="s">
        <v>64</v>
      </c>
      <c r="B19" s="90"/>
      <c r="C19" s="90"/>
      <c r="D19" s="90"/>
      <c r="E19" s="90"/>
      <c r="F19" s="91"/>
    </row>
    <row r="20" spans="1:7" x14ac:dyDescent="0.25">
      <c r="A20" s="102" t="s">
        <v>65</v>
      </c>
      <c r="B20" s="101" t="s">
        <v>66</v>
      </c>
      <c r="C20" s="101" t="s">
        <v>85</v>
      </c>
      <c r="D20" s="101" t="s">
        <v>86</v>
      </c>
      <c r="E20" s="101" t="s">
        <v>69</v>
      </c>
      <c r="F20" s="98" t="s">
        <v>73</v>
      </c>
    </row>
    <row r="21" spans="1:7" ht="15.75" thickBot="1" x14ac:dyDescent="0.3">
      <c r="A21" s="103"/>
      <c r="B21" s="104"/>
      <c r="C21" s="104"/>
      <c r="D21" s="104"/>
      <c r="E21" s="104"/>
      <c r="F21" s="99"/>
    </row>
    <row r="22" spans="1:7" x14ac:dyDescent="0.25">
      <c r="A22" s="42" t="s">
        <v>87</v>
      </c>
      <c r="B22" s="9">
        <v>5</v>
      </c>
      <c r="C22" s="9">
        <f>D14</f>
        <v>13.444137500000011</v>
      </c>
      <c r="D22" s="9">
        <f>H14</f>
        <v>2.6888275000000021</v>
      </c>
      <c r="E22" s="9">
        <f>D22/D24</f>
        <v>5.4024974842651172</v>
      </c>
      <c r="F22" s="18">
        <f>FDIST(E22,B22,B$24)</f>
        <v>4.878225158074412E-3</v>
      </c>
    </row>
    <row r="23" spans="1:7" x14ac:dyDescent="0.25">
      <c r="A23" s="42" t="s">
        <v>88</v>
      </c>
      <c r="B23" s="9">
        <v>3</v>
      </c>
      <c r="C23" s="9">
        <f>D15</f>
        <v>5.7227124999999432</v>
      </c>
      <c r="D23" s="9">
        <f>H15</f>
        <v>1.9075708333333143</v>
      </c>
      <c r="E23" s="9">
        <f>D23/D24</f>
        <v>3.8327660023340044</v>
      </c>
      <c r="F23" s="18">
        <f>FDIST(E23,B23,B$24)</f>
        <v>3.2087254639809965E-2</v>
      </c>
    </row>
    <row r="24" spans="1:7" ht="15.75" thickBot="1" x14ac:dyDescent="0.3">
      <c r="A24" s="42" t="s">
        <v>71</v>
      </c>
      <c r="B24" s="9">
        <v>15</v>
      </c>
      <c r="C24" s="9">
        <f>D16</f>
        <v>7.4655125000000453</v>
      </c>
      <c r="D24" s="9">
        <f>H16</f>
        <v>0.49770083333333637</v>
      </c>
      <c r="E24" s="9"/>
      <c r="F24" s="18"/>
    </row>
    <row r="25" spans="1:7" ht="15.75" thickBot="1" x14ac:dyDescent="0.3">
      <c r="A25" s="47" t="s">
        <v>72</v>
      </c>
      <c r="B25" s="48">
        <v>23</v>
      </c>
      <c r="C25" s="48">
        <f>D13</f>
        <v>26.632362499999999</v>
      </c>
      <c r="D25" s="48"/>
      <c r="E25" s="48"/>
      <c r="F25" s="16"/>
    </row>
    <row r="26" spans="1:7" ht="17.25" customHeight="1" x14ac:dyDescent="0.25">
      <c r="A26" s="101" t="s">
        <v>89</v>
      </c>
      <c r="B26" s="101"/>
      <c r="C26" s="101"/>
      <c r="D26" s="101"/>
      <c r="E26" s="101"/>
      <c r="F26" s="101"/>
    </row>
    <row r="27" spans="1:7" ht="17.25" customHeight="1" x14ac:dyDescent="0.25">
      <c r="A27" s="84" t="s">
        <v>90</v>
      </c>
      <c r="B27" s="84"/>
      <c r="C27" s="84"/>
      <c r="D27" s="84"/>
      <c r="E27" s="84"/>
      <c r="F27" s="84"/>
    </row>
    <row r="28" spans="1:7" ht="17.25" customHeight="1" x14ac:dyDescent="0.25">
      <c r="A28" s="22"/>
      <c r="B28" s="22"/>
      <c r="C28" s="22"/>
      <c r="D28" s="22"/>
      <c r="E28" s="22"/>
      <c r="F28" s="22"/>
    </row>
    <row r="29" spans="1:7" ht="17.25" customHeight="1" x14ac:dyDescent="0.25">
      <c r="A29" s="88" t="s">
        <v>91</v>
      </c>
      <c r="B29" s="88"/>
      <c r="C29" s="88"/>
      <c r="D29" s="88"/>
      <c r="E29" s="88"/>
      <c r="F29" s="88"/>
    </row>
    <row r="30" spans="1:7" ht="18.75" thickBot="1" x14ac:dyDescent="0.3">
      <c r="A30" s="1" t="s">
        <v>93</v>
      </c>
      <c r="B30" s="1">
        <f>TINV(0.05,15)</f>
        <v>2.1314495455597742</v>
      </c>
      <c r="D30" s="21" t="s">
        <v>92</v>
      </c>
      <c r="E30" s="2">
        <f>SQRT(2*D24/4)*B30</f>
        <v>1.0632716706117542</v>
      </c>
    </row>
    <row r="31" spans="1:7" ht="15.75" customHeight="1" thickBot="1" x14ac:dyDescent="0.3">
      <c r="A31" s="89" t="s">
        <v>94</v>
      </c>
      <c r="B31" s="90"/>
      <c r="C31" s="90"/>
      <c r="D31" s="90"/>
      <c r="E31" s="90"/>
      <c r="F31" s="90"/>
      <c r="G31" s="91"/>
    </row>
    <row r="32" spans="1:7" ht="15.75" thickBot="1" x14ac:dyDescent="0.3">
      <c r="A32" s="45" t="s">
        <v>87</v>
      </c>
      <c r="B32" s="48">
        <v>1</v>
      </c>
      <c r="C32" s="48">
        <v>2</v>
      </c>
      <c r="D32" s="48">
        <v>3</v>
      </c>
      <c r="E32" s="48">
        <v>4</v>
      </c>
      <c r="F32" s="48">
        <v>5</v>
      </c>
      <c r="G32" s="16">
        <v>6</v>
      </c>
    </row>
    <row r="33" spans="1:7" x14ac:dyDescent="0.25">
      <c r="A33" s="49">
        <v>1</v>
      </c>
      <c r="B33" s="40">
        <v>0</v>
      </c>
      <c r="C33" s="41"/>
      <c r="D33" s="41"/>
      <c r="E33" s="41"/>
      <c r="F33" s="41"/>
      <c r="G33" s="17"/>
    </row>
    <row r="34" spans="1:7" x14ac:dyDescent="0.25">
      <c r="A34" s="49">
        <v>2</v>
      </c>
      <c r="B34" s="42">
        <f>ABS($G$5-G6)</f>
        <v>1.7500000000000071E-2</v>
      </c>
      <c r="C34" s="9">
        <v>0</v>
      </c>
      <c r="D34" s="9"/>
      <c r="E34" s="9"/>
      <c r="F34" s="9"/>
      <c r="G34" s="18"/>
    </row>
    <row r="35" spans="1:7" x14ac:dyDescent="0.25">
      <c r="A35" s="49">
        <v>3</v>
      </c>
      <c r="B35" s="42">
        <f>ABS($G$5-G7)</f>
        <v>1.0024999999999995</v>
      </c>
      <c r="C35" s="9">
        <f>ABS($G$6-G7)</f>
        <v>0.98499999999999943</v>
      </c>
      <c r="D35" s="9">
        <v>0</v>
      </c>
      <c r="E35" s="9"/>
      <c r="F35" s="9"/>
      <c r="G35" s="18"/>
    </row>
    <row r="36" spans="1:7" x14ac:dyDescent="0.25">
      <c r="A36" s="49">
        <v>4</v>
      </c>
      <c r="B36" s="54">
        <f>ABS($G$5-G8)</f>
        <v>1.8399999999999999</v>
      </c>
      <c r="C36" s="13">
        <f>ABS($G$6-G8)</f>
        <v>1.8224999999999998</v>
      </c>
      <c r="D36" s="9">
        <f>ABS($G$7-G8)</f>
        <v>0.83750000000000036</v>
      </c>
      <c r="E36" s="9">
        <v>0</v>
      </c>
      <c r="F36" s="9"/>
      <c r="G36" s="18"/>
    </row>
    <row r="37" spans="1:7" x14ac:dyDescent="0.25">
      <c r="A37" s="49">
        <v>5</v>
      </c>
      <c r="B37" s="42">
        <f>ABS($G$5-G9)</f>
        <v>0.61749999999999972</v>
      </c>
      <c r="C37" s="9">
        <f>ABS($G$6-G9)</f>
        <v>0.59999999999999964</v>
      </c>
      <c r="D37" s="9">
        <f>ABS($G$7-G9)</f>
        <v>0.38499999999999979</v>
      </c>
      <c r="E37" s="13">
        <f>ABS($G$8-G9)</f>
        <v>1.2225000000000001</v>
      </c>
      <c r="F37" s="9">
        <v>0</v>
      </c>
      <c r="G37" s="18"/>
    </row>
    <row r="38" spans="1:7" ht="15.75" thickBot="1" x14ac:dyDescent="0.3">
      <c r="A38" s="52">
        <v>6</v>
      </c>
      <c r="B38" s="55">
        <f>ABS($G$5-G10)</f>
        <v>1.7949999999999999</v>
      </c>
      <c r="C38" s="56">
        <f>ABS($G$6-G10)</f>
        <v>1.7774999999999999</v>
      </c>
      <c r="D38" s="43">
        <f>ABS($G$7-G10)</f>
        <v>0.79250000000000043</v>
      </c>
      <c r="E38" s="43">
        <f>ABS($G$8-G10)</f>
        <v>4.4999999999999929E-2</v>
      </c>
      <c r="F38" s="56">
        <f>ABS(G9-G10)</f>
        <v>1.1775000000000002</v>
      </c>
      <c r="G38" s="19">
        <v>0</v>
      </c>
    </row>
    <row r="39" spans="1:7" ht="15" customHeight="1" x14ac:dyDescent="0.25">
      <c r="A39" s="100" t="s">
        <v>96</v>
      </c>
      <c r="B39" s="100"/>
      <c r="C39" s="100"/>
      <c r="D39" s="100"/>
      <c r="E39" s="100"/>
      <c r="F39" s="100"/>
      <c r="G39" s="100"/>
    </row>
    <row r="40" spans="1:7" x14ac:dyDescent="0.25">
      <c r="A40" s="88"/>
      <c r="B40" s="88"/>
      <c r="C40" s="88"/>
      <c r="D40" s="88"/>
      <c r="E40" s="88"/>
      <c r="F40" s="88"/>
      <c r="G40" s="88"/>
    </row>
    <row r="42" spans="1:7" ht="15" customHeight="1" x14ac:dyDescent="0.25">
      <c r="A42" s="84" t="s">
        <v>97</v>
      </c>
      <c r="B42" s="84"/>
      <c r="C42" s="84"/>
      <c r="D42" s="1">
        <f>(3*D23+4*5*D24)/(B25*D24)</f>
        <v>1.3694912176957399</v>
      </c>
    </row>
  </sheetData>
  <mergeCells count="15">
    <mergeCell ref="A19:F19"/>
    <mergeCell ref="A26:F26"/>
    <mergeCell ref="A27:F27"/>
    <mergeCell ref="A1:E1"/>
    <mergeCell ref="B3:E3"/>
    <mergeCell ref="A20:A21"/>
    <mergeCell ref="B20:B21"/>
    <mergeCell ref="C20:C21"/>
    <mergeCell ref="D20:D21"/>
    <mergeCell ref="E20:E21"/>
    <mergeCell ref="A42:C42"/>
    <mergeCell ref="A29:F29"/>
    <mergeCell ref="A31:G31"/>
    <mergeCell ref="A39:G40"/>
    <mergeCell ref="F20:F21"/>
  </mergeCells>
  <pageMargins left="0.7" right="0.7" top="0.75" bottom="0.75" header="0.3" footer="0.3"/>
  <pageSetup orientation="portrait" verticalDpi="0" r:id="rId1"/>
  <ignoredErrors>
    <ignoredError sqref="F5:F10 B11:E1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K10" sqref="K10"/>
    </sheetView>
  </sheetViews>
  <sheetFormatPr defaultRowHeight="15" x14ac:dyDescent="0.25"/>
  <cols>
    <col min="1" max="1" width="10.42578125" style="1" customWidth="1"/>
    <col min="2" max="2" width="11" style="1" customWidth="1"/>
    <col min="3" max="3" width="13" style="1" customWidth="1"/>
    <col min="4" max="4" width="9.85546875" style="1" customWidth="1"/>
    <col min="5" max="5" width="11.5703125" style="1" bestFit="1" customWidth="1"/>
    <col min="6" max="16384" width="9.140625" style="1"/>
  </cols>
  <sheetData>
    <row r="1" spans="1:6" ht="15.75" thickBot="1" x14ac:dyDescent="0.3">
      <c r="A1" s="89" t="s">
        <v>243</v>
      </c>
      <c r="B1" s="90"/>
      <c r="C1" s="90"/>
      <c r="D1" s="90"/>
      <c r="E1" s="91"/>
    </row>
    <row r="2" spans="1:6" ht="15.75" thickBot="1" x14ac:dyDescent="0.3"/>
    <row r="3" spans="1:6" x14ac:dyDescent="0.25">
      <c r="A3" s="102" t="s">
        <v>98</v>
      </c>
      <c r="B3" s="105" t="s">
        <v>99</v>
      </c>
      <c r="C3" s="105" t="s">
        <v>100</v>
      </c>
      <c r="D3" s="98" t="s">
        <v>101</v>
      </c>
    </row>
    <row r="4" spans="1:6" ht="15.75" thickBot="1" x14ac:dyDescent="0.3">
      <c r="A4" s="103"/>
      <c r="B4" s="106"/>
      <c r="C4" s="106"/>
      <c r="D4" s="99"/>
      <c r="E4" s="2" t="s">
        <v>106</v>
      </c>
      <c r="F4" s="1">
        <v>4</v>
      </c>
    </row>
    <row r="5" spans="1:6" x14ac:dyDescent="0.25">
      <c r="A5" s="40">
        <v>25</v>
      </c>
      <c r="B5" s="41">
        <v>1</v>
      </c>
      <c r="C5" s="41">
        <v>1</v>
      </c>
      <c r="D5" s="17" t="s">
        <v>102</v>
      </c>
      <c r="E5" s="2" t="s">
        <v>15</v>
      </c>
      <c r="F5" s="1">
        <v>16</v>
      </c>
    </row>
    <row r="6" spans="1:6" x14ac:dyDescent="0.25">
      <c r="A6" s="42">
        <v>32</v>
      </c>
      <c r="B6" s="9">
        <v>2</v>
      </c>
      <c r="C6" s="9">
        <v>1</v>
      </c>
      <c r="D6" s="18" t="s">
        <v>103</v>
      </c>
      <c r="E6" s="2"/>
    </row>
    <row r="7" spans="1:6" ht="18" x14ac:dyDescent="0.25">
      <c r="A7" s="42">
        <v>24</v>
      </c>
      <c r="B7" s="9">
        <v>3</v>
      </c>
      <c r="C7" s="9">
        <v>1</v>
      </c>
      <c r="D7" s="18" t="s">
        <v>104</v>
      </c>
      <c r="E7" s="2" t="s">
        <v>128</v>
      </c>
      <c r="F7" s="1">
        <f>SUM(A5,A9,A13,A17)</f>
        <v>122</v>
      </c>
    </row>
    <row r="8" spans="1:6" ht="18" x14ac:dyDescent="0.25">
      <c r="A8" s="61">
        <v>37</v>
      </c>
      <c r="B8" s="62">
        <v>4</v>
      </c>
      <c r="C8" s="62">
        <v>1</v>
      </c>
      <c r="D8" s="63" t="s">
        <v>105</v>
      </c>
      <c r="E8" s="2" t="s">
        <v>129</v>
      </c>
      <c r="F8" s="1">
        <f>SUM(A6,A10,A14,A18)</f>
        <v>131</v>
      </c>
    </row>
    <row r="9" spans="1:6" ht="18" x14ac:dyDescent="0.25">
      <c r="A9" s="64">
        <v>31</v>
      </c>
      <c r="B9" s="65">
        <v>1</v>
      </c>
      <c r="C9" s="65">
        <v>2</v>
      </c>
      <c r="D9" s="66" t="s">
        <v>103</v>
      </c>
      <c r="E9" s="2" t="s">
        <v>130</v>
      </c>
      <c r="F9" s="1">
        <f>SUM(A7,A11,A15,A19)</f>
        <v>131</v>
      </c>
    </row>
    <row r="10" spans="1:6" ht="18" x14ac:dyDescent="0.25">
      <c r="A10" s="42">
        <v>33</v>
      </c>
      <c r="B10" s="9">
        <v>2</v>
      </c>
      <c r="C10" s="9">
        <v>2</v>
      </c>
      <c r="D10" s="18" t="s">
        <v>105</v>
      </c>
      <c r="E10" s="2" t="s">
        <v>131</v>
      </c>
      <c r="F10" s="1">
        <f>SUM(A8,A12,A16,A20)</f>
        <v>130</v>
      </c>
    </row>
    <row r="11" spans="1:6" x14ac:dyDescent="0.25">
      <c r="A11" s="42">
        <v>30</v>
      </c>
      <c r="B11" s="9">
        <v>3</v>
      </c>
      <c r="C11" s="9">
        <v>2</v>
      </c>
      <c r="D11" s="18" t="s">
        <v>102</v>
      </c>
      <c r="E11" s="2"/>
    </row>
    <row r="12" spans="1:6" ht="18" x14ac:dyDescent="0.25">
      <c r="A12" s="61">
        <v>28</v>
      </c>
      <c r="B12" s="62">
        <v>4</v>
      </c>
      <c r="C12" s="62">
        <v>2</v>
      </c>
      <c r="D12" s="63" t="s">
        <v>104</v>
      </c>
      <c r="E12" s="2" t="s">
        <v>132</v>
      </c>
      <c r="F12" s="1">
        <f>SUM(A5:A8)</f>
        <v>118</v>
      </c>
    </row>
    <row r="13" spans="1:6" ht="18" x14ac:dyDescent="0.25">
      <c r="A13" s="64">
        <v>40</v>
      </c>
      <c r="B13" s="65">
        <v>1</v>
      </c>
      <c r="C13" s="65">
        <v>3</v>
      </c>
      <c r="D13" s="66" t="s">
        <v>105</v>
      </c>
      <c r="E13" s="2" t="s">
        <v>133</v>
      </c>
      <c r="F13" s="1">
        <f>SUM(A9:A12)</f>
        <v>122</v>
      </c>
    </row>
    <row r="14" spans="1:6" ht="18" x14ac:dyDescent="0.25">
      <c r="A14" s="42">
        <v>32</v>
      </c>
      <c r="B14" s="9">
        <v>2</v>
      </c>
      <c r="C14" s="9">
        <v>3</v>
      </c>
      <c r="D14" s="18" t="s">
        <v>104</v>
      </c>
      <c r="E14" s="2" t="s">
        <v>134</v>
      </c>
      <c r="F14" s="1">
        <f>SUM(A13:A16)</f>
        <v>136</v>
      </c>
    </row>
    <row r="15" spans="1:6" ht="18" x14ac:dyDescent="0.25">
      <c r="A15" s="42">
        <v>36</v>
      </c>
      <c r="B15" s="9">
        <v>3</v>
      </c>
      <c r="C15" s="9">
        <v>3</v>
      </c>
      <c r="D15" s="18" t="s">
        <v>103</v>
      </c>
      <c r="E15" s="2" t="s">
        <v>135</v>
      </c>
      <c r="F15" s="1">
        <f>SUM(A17:A20)</f>
        <v>138</v>
      </c>
    </row>
    <row r="16" spans="1:6" x14ac:dyDescent="0.25">
      <c r="A16" s="61">
        <v>28</v>
      </c>
      <c r="B16" s="62">
        <v>4</v>
      </c>
      <c r="C16" s="62">
        <v>3</v>
      </c>
      <c r="D16" s="63" t="s">
        <v>102</v>
      </c>
      <c r="E16" s="2"/>
    </row>
    <row r="17" spans="1:10" ht="18" x14ac:dyDescent="0.25">
      <c r="A17" s="42">
        <v>26</v>
      </c>
      <c r="B17" s="9">
        <v>1</v>
      </c>
      <c r="C17" s="9">
        <v>4</v>
      </c>
      <c r="D17" s="18" t="s">
        <v>104</v>
      </c>
      <c r="E17" s="2" t="s">
        <v>136</v>
      </c>
      <c r="F17" s="1">
        <f>SUM(A6,A9,A15,A20)</f>
        <v>136</v>
      </c>
      <c r="G17" s="2" t="s">
        <v>140</v>
      </c>
      <c r="H17" s="1">
        <f>F17/4</f>
        <v>34</v>
      </c>
    </row>
    <row r="18" spans="1:10" ht="18" x14ac:dyDescent="0.25">
      <c r="A18" s="42">
        <v>34</v>
      </c>
      <c r="B18" s="9">
        <v>2</v>
      </c>
      <c r="C18" s="9">
        <v>4</v>
      </c>
      <c r="D18" s="18" t="s">
        <v>102</v>
      </c>
      <c r="E18" s="2" t="s">
        <v>137</v>
      </c>
      <c r="F18" s="1">
        <f>SUM(A5,A11,A16,A18)</f>
        <v>117</v>
      </c>
      <c r="G18" s="2" t="s">
        <v>141</v>
      </c>
      <c r="H18" s="1">
        <f t="shared" ref="H18:H20" si="0">F18/4</f>
        <v>29.25</v>
      </c>
    </row>
    <row r="19" spans="1:10" ht="18" x14ac:dyDescent="0.25">
      <c r="A19" s="42">
        <v>41</v>
      </c>
      <c r="B19" s="9">
        <v>3</v>
      </c>
      <c r="C19" s="9">
        <v>4</v>
      </c>
      <c r="D19" s="18" t="s">
        <v>105</v>
      </c>
      <c r="E19" s="2" t="s">
        <v>138</v>
      </c>
      <c r="F19" s="1">
        <f>SUM(A8,A10,A13,A19)</f>
        <v>151</v>
      </c>
      <c r="G19" s="2" t="s">
        <v>142</v>
      </c>
      <c r="H19" s="1">
        <f t="shared" si="0"/>
        <v>37.75</v>
      </c>
    </row>
    <row r="20" spans="1:10" ht="18.75" thickBot="1" x14ac:dyDescent="0.3">
      <c r="A20" s="60">
        <v>37</v>
      </c>
      <c r="B20" s="43">
        <v>4</v>
      </c>
      <c r="C20" s="43">
        <v>4</v>
      </c>
      <c r="D20" s="19" t="s">
        <v>103</v>
      </c>
      <c r="E20" s="2" t="s">
        <v>139</v>
      </c>
      <c r="F20" s="1">
        <f>SUM(A7,A12,A14,A17)</f>
        <v>110</v>
      </c>
      <c r="G20" s="2" t="s">
        <v>143</v>
      </c>
      <c r="H20" s="1">
        <f t="shared" si="0"/>
        <v>27.5</v>
      </c>
      <c r="J20" s="68"/>
    </row>
    <row r="22" spans="1:10" x14ac:dyDescent="0.25">
      <c r="A22" s="69" t="s">
        <v>107</v>
      </c>
      <c r="B22" s="67">
        <f>SUM(A5:A20)</f>
        <v>514</v>
      </c>
      <c r="C22" s="9"/>
      <c r="D22" s="69" t="s">
        <v>108</v>
      </c>
      <c r="E22" s="67">
        <f>SUMSQ(F7:F10)/4-B23</f>
        <v>14.25</v>
      </c>
    </row>
    <row r="23" spans="1:10" x14ac:dyDescent="0.25">
      <c r="A23" s="70" t="s">
        <v>57</v>
      </c>
      <c r="B23" s="5">
        <f>B22^2/16</f>
        <v>16512.25</v>
      </c>
      <c r="C23" s="9"/>
      <c r="D23" s="70" t="s">
        <v>66</v>
      </c>
      <c r="E23" s="5">
        <v>3</v>
      </c>
    </row>
    <row r="24" spans="1:10" ht="15.75" customHeight="1" x14ac:dyDescent="0.25">
      <c r="A24" s="70" t="s">
        <v>58</v>
      </c>
      <c r="B24" s="5">
        <f>SUMSQ(A5:A20)-B23</f>
        <v>401.75</v>
      </c>
      <c r="C24" s="9"/>
      <c r="D24" s="71" t="s">
        <v>110</v>
      </c>
      <c r="E24" s="6">
        <f>E22/E23</f>
        <v>4.75</v>
      </c>
    </row>
    <row r="25" spans="1:10" ht="15.75" customHeight="1" x14ac:dyDescent="0.25">
      <c r="A25" s="71" t="s">
        <v>66</v>
      </c>
      <c r="B25" s="6">
        <v>15</v>
      </c>
    </row>
    <row r="26" spans="1:10" ht="15.75" customHeight="1" x14ac:dyDescent="0.25"/>
    <row r="27" spans="1:10" ht="15.75" customHeight="1" x14ac:dyDescent="0.25">
      <c r="A27" s="69" t="s">
        <v>109</v>
      </c>
      <c r="B27" s="67">
        <f>SUMSQ(F12:F15)/4-B23</f>
        <v>74.75</v>
      </c>
      <c r="C27" s="9"/>
      <c r="D27" s="69" t="s">
        <v>59</v>
      </c>
      <c r="E27" s="67">
        <f>SUMSQ(F17:F20)/4-B23</f>
        <v>259.25</v>
      </c>
      <c r="G27" s="69" t="s">
        <v>63</v>
      </c>
      <c r="H27" s="67">
        <f>B24-E22-B27-E27</f>
        <v>53.5</v>
      </c>
    </row>
    <row r="28" spans="1:10" x14ac:dyDescent="0.25">
      <c r="A28" s="70" t="s">
        <v>66</v>
      </c>
      <c r="B28" s="5">
        <v>3</v>
      </c>
      <c r="C28" s="9"/>
      <c r="D28" s="70" t="s">
        <v>66</v>
      </c>
      <c r="E28" s="5">
        <v>3</v>
      </c>
      <c r="G28" s="70" t="s">
        <v>66</v>
      </c>
      <c r="H28" s="5">
        <v>6</v>
      </c>
    </row>
    <row r="29" spans="1:10" x14ac:dyDescent="0.25">
      <c r="A29" s="71" t="s">
        <v>113</v>
      </c>
      <c r="B29" s="6">
        <f>B27/B28</f>
        <v>24.916666666666668</v>
      </c>
      <c r="C29" s="9"/>
      <c r="D29" s="71" t="s">
        <v>82</v>
      </c>
      <c r="E29" s="6">
        <f>E27/E28</f>
        <v>86.416666666666671</v>
      </c>
      <c r="G29" s="71" t="s">
        <v>84</v>
      </c>
      <c r="H29" s="6">
        <f>H27/H28</f>
        <v>8.9166666666666661</v>
      </c>
    </row>
    <row r="31" spans="1:10" ht="15" customHeight="1" thickBot="1" x14ac:dyDescent="0.3"/>
    <row r="32" spans="1:10" ht="15" customHeight="1" thickBot="1" x14ac:dyDescent="0.3">
      <c r="A32" s="89" t="s">
        <v>64</v>
      </c>
      <c r="B32" s="108"/>
      <c r="C32" s="108"/>
      <c r="D32" s="108"/>
      <c r="E32" s="108"/>
      <c r="F32" s="87"/>
    </row>
    <row r="33" spans="1:6" ht="17.25" customHeight="1" x14ac:dyDescent="0.25">
      <c r="A33" s="102" t="s">
        <v>65</v>
      </c>
      <c r="B33" s="101" t="s">
        <v>66</v>
      </c>
      <c r="C33" s="101" t="s">
        <v>85</v>
      </c>
      <c r="D33" s="101" t="s">
        <v>86</v>
      </c>
      <c r="E33" s="101" t="s">
        <v>69</v>
      </c>
      <c r="F33" s="98" t="s">
        <v>73</v>
      </c>
    </row>
    <row r="34" spans="1:6" ht="15.75" customHeight="1" thickBot="1" x14ac:dyDescent="0.3">
      <c r="A34" s="103"/>
      <c r="B34" s="104"/>
      <c r="C34" s="104"/>
      <c r="D34" s="104"/>
      <c r="E34" s="104"/>
      <c r="F34" s="99"/>
    </row>
    <row r="35" spans="1:6" ht="15.75" customHeight="1" x14ac:dyDescent="0.25">
      <c r="A35" s="42" t="s">
        <v>111</v>
      </c>
      <c r="B35" s="9">
        <v>3</v>
      </c>
      <c r="C35" s="9">
        <f>E22</f>
        <v>14.25</v>
      </c>
      <c r="D35" s="9">
        <f>E24</f>
        <v>4.75</v>
      </c>
      <c r="E35" s="9">
        <f>D35/$D$38</f>
        <v>0.53271028037383183</v>
      </c>
      <c r="F35" s="18">
        <f>FDIST(E35,3,6)</f>
        <v>0.67649328802484743</v>
      </c>
    </row>
    <row r="36" spans="1:6" x14ac:dyDescent="0.25">
      <c r="A36" s="42" t="s">
        <v>112</v>
      </c>
      <c r="B36" s="9">
        <v>3</v>
      </c>
      <c r="C36" s="9">
        <f>B27</f>
        <v>74.75</v>
      </c>
      <c r="D36" s="9">
        <f>B29</f>
        <v>24.916666666666668</v>
      </c>
      <c r="E36" s="9">
        <f>D36/$D$38</f>
        <v>2.7943925233644862</v>
      </c>
      <c r="F36" s="18">
        <f t="shared" ref="F36:F37" si="1">FDIST(E36,3,6)</f>
        <v>0.13141244656826287</v>
      </c>
    </row>
    <row r="37" spans="1:6" x14ac:dyDescent="0.25">
      <c r="A37" s="42" t="s">
        <v>87</v>
      </c>
      <c r="B37" s="9">
        <v>3</v>
      </c>
      <c r="C37" s="9">
        <f>E27</f>
        <v>259.25</v>
      </c>
      <c r="D37" s="9">
        <f>E29</f>
        <v>86.416666666666671</v>
      </c>
      <c r="E37" s="9">
        <f>D37/$D$38</f>
        <v>9.6915887850467293</v>
      </c>
      <c r="F37" s="18">
        <f t="shared" si="1"/>
        <v>1.0221730028366025E-2</v>
      </c>
    </row>
    <row r="38" spans="1:6" ht="15.75" thickBot="1" x14ac:dyDescent="0.3">
      <c r="A38" s="42" t="s">
        <v>71</v>
      </c>
      <c r="B38" s="9">
        <v>6</v>
      </c>
      <c r="C38" s="9">
        <f>H27</f>
        <v>53.5</v>
      </c>
      <c r="D38" s="9">
        <f>H29</f>
        <v>8.9166666666666661</v>
      </c>
      <c r="E38" s="9"/>
      <c r="F38" s="18"/>
    </row>
    <row r="39" spans="1:6" ht="15.75" thickBot="1" x14ac:dyDescent="0.3">
      <c r="A39" s="47" t="s">
        <v>72</v>
      </c>
      <c r="B39" s="48">
        <v>15</v>
      </c>
      <c r="C39" s="48">
        <f>B24</f>
        <v>401.75</v>
      </c>
      <c r="D39" s="48"/>
      <c r="E39" s="48"/>
      <c r="F39" s="16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107" t="s">
        <v>114</v>
      </c>
      <c r="B41" s="107"/>
      <c r="C41" s="107"/>
      <c r="D41" s="107"/>
      <c r="E41" s="107"/>
      <c r="F41" s="107"/>
    </row>
    <row r="42" spans="1:6" x14ac:dyDescent="0.25">
      <c r="A42" s="107" t="s">
        <v>115</v>
      </c>
      <c r="B42" s="107"/>
      <c r="C42" s="107"/>
      <c r="D42" s="107"/>
      <c r="E42" s="107"/>
      <c r="F42" s="107"/>
    </row>
    <row r="43" spans="1:6" x14ac:dyDescent="0.25">
      <c r="A43" s="107" t="s">
        <v>116</v>
      </c>
      <c r="B43" s="107"/>
      <c r="C43" s="107"/>
      <c r="D43" s="107"/>
      <c r="E43" s="107"/>
      <c r="F43" s="107"/>
    </row>
    <row r="44" spans="1:6" x14ac:dyDescent="0.25">
      <c r="A44" s="51"/>
      <c r="B44" s="51"/>
      <c r="C44" s="51"/>
      <c r="D44" s="51"/>
      <c r="E44" s="51"/>
      <c r="F44" s="51"/>
    </row>
    <row r="45" spans="1:6" ht="18.75" customHeight="1" x14ac:dyDescent="0.25">
      <c r="A45" s="84" t="s">
        <v>117</v>
      </c>
      <c r="B45" s="84"/>
      <c r="C45" s="84"/>
      <c r="D45" s="84"/>
      <c r="E45" s="84"/>
      <c r="F45" s="84"/>
    </row>
    <row r="46" spans="1:6" ht="16.5" customHeight="1" x14ac:dyDescent="0.25">
      <c r="A46" s="37"/>
      <c r="B46" s="37"/>
      <c r="C46" s="37"/>
      <c r="D46" s="37"/>
      <c r="E46" s="37"/>
      <c r="F46" s="37"/>
    </row>
    <row r="47" spans="1:6" ht="16.5" customHeight="1" x14ac:dyDescent="0.25">
      <c r="A47" s="37" t="s">
        <v>118</v>
      </c>
      <c r="B47" s="37">
        <f>TINV(0.05,6)</f>
        <v>2.4469118511449697</v>
      </c>
      <c r="C47" s="37"/>
      <c r="D47" s="37" t="s">
        <v>119</v>
      </c>
      <c r="E47" s="37">
        <f>SQRT(2*D38/4)*B47</f>
        <v>5.1665970585833305</v>
      </c>
      <c r="F47" s="37"/>
    </row>
    <row r="48" spans="1:6" ht="15.75" thickBot="1" x14ac:dyDescent="0.3"/>
    <row r="49" spans="1:7" ht="15.75" thickBot="1" x14ac:dyDescent="0.3">
      <c r="A49" s="89" t="s">
        <v>94</v>
      </c>
      <c r="B49" s="108"/>
      <c r="C49" s="108"/>
      <c r="D49" s="108"/>
      <c r="E49" s="87"/>
    </row>
    <row r="50" spans="1:7" ht="15.75" thickBot="1" x14ac:dyDescent="0.3">
      <c r="A50" s="45" t="s">
        <v>87</v>
      </c>
      <c r="B50" s="48" t="s">
        <v>103</v>
      </c>
      <c r="C50" s="48" t="s">
        <v>102</v>
      </c>
      <c r="D50" s="48" t="s">
        <v>105</v>
      </c>
      <c r="E50" s="16" t="s">
        <v>104</v>
      </c>
    </row>
    <row r="51" spans="1:7" x14ac:dyDescent="0.25">
      <c r="A51" s="53" t="s">
        <v>103</v>
      </c>
      <c r="B51" s="40">
        <v>0</v>
      </c>
      <c r="C51" s="41"/>
      <c r="D51" s="41"/>
      <c r="E51" s="17"/>
    </row>
    <row r="52" spans="1:7" x14ac:dyDescent="0.25">
      <c r="A52" s="49" t="s">
        <v>102</v>
      </c>
      <c r="B52" s="42">
        <f>ABS($H$17-H18)</f>
        <v>4.75</v>
      </c>
      <c r="C52" s="9">
        <v>0</v>
      </c>
      <c r="D52" s="9"/>
      <c r="E52" s="18"/>
    </row>
    <row r="53" spans="1:7" x14ac:dyDescent="0.25">
      <c r="A53" s="49" t="s">
        <v>105</v>
      </c>
      <c r="B53" s="42">
        <f t="shared" ref="B53:B54" si="2">ABS($H$17-H19)</f>
        <v>3.75</v>
      </c>
      <c r="C53" s="13">
        <f>ABS($H$18-H19)</f>
        <v>8.5</v>
      </c>
      <c r="D53" s="9">
        <v>0</v>
      </c>
      <c r="E53" s="18"/>
    </row>
    <row r="54" spans="1:7" ht="15.75" thickBot="1" x14ac:dyDescent="0.3">
      <c r="A54" s="52" t="s">
        <v>104</v>
      </c>
      <c r="B54" s="55">
        <f t="shared" si="2"/>
        <v>6.5</v>
      </c>
      <c r="C54" s="43">
        <f>ABS($H$18-H20)</f>
        <v>1.75</v>
      </c>
      <c r="D54" s="56">
        <f>H19-H20</f>
        <v>10.25</v>
      </c>
      <c r="E54" s="19">
        <v>0</v>
      </c>
    </row>
    <row r="56" spans="1:7" x14ac:dyDescent="0.25">
      <c r="A56" s="107" t="s">
        <v>120</v>
      </c>
      <c r="B56" s="107"/>
      <c r="C56" s="107"/>
      <c r="D56" s="107"/>
      <c r="E56" s="107"/>
      <c r="F56" s="107"/>
      <c r="G56" s="107"/>
    </row>
    <row r="57" spans="1:7" x14ac:dyDescent="0.25">
      <c r="A57" s="107"/>
      <c r="B57" s="107"/>
      <c r="C57" s="107"/>
      <c r="D57" s="107"/>
      <c r="E57" s="107"/>
      <c r="F57" s="107"/>
      <c r="G57" s="107"/>
    </row>
    <row r="59" spans="1:7" x14ac:dyDescent="0.25">
      <c r="A59" s="2" t="s">
        <v>121</v>
      </c>
    </row>
    <row r="61" spans="1:7" x14ac:dyDescent="0.25">
      <c r="A61" s="2" t="s">
        <v>122</v>
      </c>
      <c r="B61" s="84" t="s">
        <v>123</v>
      </c>
      <c r="C61" s="84"/>
      <c r="D61" s="1">
        <f>(D35+D36+3*D38)/(5*D38)</f>
        <v>1.2654205607476638</v>
      </c>
    </row>
    <row r="62" spans="1:7" x14ac:dyDescent="0.25">
      <c r="A62" s="2"/>
      <c r="B62" s="2"/>
      <c r="C62" s="2"/>
    </row>
    <row r="63" spans="1:7" x14ac:dyDescent="0.25">
      <c r="A63" s="2" t="s">
        <v>124</v>
      </c>
      <c r="B63" s="84" t="s">
        <v>125</v>
      </c>
      <c r="C63" s="84"/>
    </row>
    <row r="64" spans="1:7" x14ac:dyDescent="0.25">
      <c r="A64" s="2"/>
      <c r="B64" s="2"/>
      <c r="C64" s="2"/>
    </row>
    <row r="65" spans="1:4" x14ac:dyDescent="0.25">
      <c r="A65" s="2"/>
      <c r="B65" s="84" t="s">
        <v>126</v>
      </c>
      <c r="C65" s="84"/>
      <c r="D65" s="1">
        <f>(D36+3*D38)/(4*D38)</f>
        <v>1.4485981308411218</v>
      </c>
    </row>
    <row r="66" spans="1:4" x14ac:dyDescent="0.25">
      <c r="B66" s="38"/>
      <c r="C66" s="39"/>
    </row>
    <row r="67" spans="1:4" x14ac:dyDescent="0.25">
      <c r="B67" s="109" t="s">
        <v>127</v>
      </c>
      <c r="C67" s="109"/>
      <c r="D67" s="1">
        <f>(D35+3*D38)/(4*D38)</f>
        <v>0.88317757009345799</v>
      </c>
    </row>
  </sheetData>
  <mergeCells count="22">
    <mergeCell ref="A56:G57"/>
    <mergeCell ref="B61:C61"/>
    <mergeCell ref="B63:C63"/>
    <mergeCell ref="B65:C65"/>
    <mergeCell ref="B67:C67"/>
    <mergeCell ref="A42:F42"/>
    <mergeCell ref="A41:F41"/>
    <mergeCell ref="A32:F32"/>
    <mergeCell ref="A43:F43"/>
    <mergeCell ref="A49:E49"/>
    <mergeCell ref="A45:F45"/>
    <mergeCell ref="F33:F34"/>
    <mergeCell ref="A33:A34"/>
    <mergeCell ref="B33:B34"/>
    <mergeCell ref="C33:C34"/>
    <mergeCell ref="D33:D34"/>
    <mergeCell ref="E33:E34"/>
    <mergeCell ref="A1:E1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  <ignoredErrors>
    <ignoredError sqref="F11:F1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T20" sqref="T20"/>
    </sheetView>
  </sheetViews>
  <sheetFormatPr defaultRowHeight="15" x14ac:dyDescent="0.25"/>
  <cols>
    <col min="1" max="1" width="11.42578125" style="1" customWidth="1"/>
    <col min="2" max="17" width="6.7109375" style="1" customWidth="1"/>
    <col min="18" max="18" width="7.7109375" style="1" customWidth="1"/>
    <col min="19" max="16384" width="9.140625" style="1"/>
  </cols>
  <sheetData>
    <row r="1" spans="1:17" ht="15.75" thickBot="1" x14ac:dyDescent="0.3">
      <c r="A1" s="89" t="s">
        <v>244</v>
      </c>
      <c r="B1" s="90"/>
      <c r="C1" s="90"/>
      <c r="D1" s="90"/>
      <c r="E1" s="90"/>
      <c r="F1" s="108"/>
      <c r="G1" s="108"/>
      <c r="H1" s="108"/>
      <c r="I1" s="87"/>
    </row>
    <row r="2" spans="1:17" ht="15.75" thickBot="1" x14ac:dyDescent="0.3"/>
    <row r="3" spans="1:17" x14ac:dyDescent="0.25">
      <c r="A3" s="111" t="s">
        <v>144</v>
      </c>
      <c r="B3" s="102" t="s">
        <v>88</v>
      </c>
      <c r="C3" s="101"/>
      <c r="D3" s="101"/>
      <c r="E3" s="100"/>
      <c r="F3" s="100"/>
      <c r="G3" s="100"/>
      <c r="H3" s="100"/>
      <c r="I3" s="100"/>
      <c r="J3" s="100"/>
      <c r="K3" s="100"/>
      <c r="L3" s="100"/>
      <c r="M3" s="100"/>
      <c r="N3" s="113"/>
      <c r="O3" s="40"/>
      <c r="P3" s="41"/>
      <c r="Q3" s="17"/>
    </row>
    <row r="4" spans="1:17" ht="18.75" thickBot="1" x14ac:dyDescent="0.3">
      <c r="A4" s="112"/>
      <c r="B4" s="56">
        <v>1</v>
      </c>
      <c r="C4" s="56">
        <v>2</v>
      </c>
      <c r="D4" s="56">
        <v>3</v>
      </c>
      <c r="E4" s="56">
        <v>4</v>
      </c>
      <c r="F4" s="56">
        <v>5</v>
      </c>
      <c r="G4" s="56">
        <v>6</v>
      </c>
      <c r="H4" s="56">
        <v>7</v>
      </c>
      <c r="I4" s="56">
        <v>8</v>
      </c>
      <c r="J4" s="56">
        <v>9</v>
      </c>
      <c r="K4" s="56">
        <v>10</v>
      </c>
      <c r="L4" s="56">
        <v>11</v>
      </c>
      <c r="M4" s="56">
        <v>12</v>
      </c>
      <c r="N4" s="75">
        <v>13</v>
      </c>
      <c r="O4" s="55" t="s">
        <v>171</v>
      </c>
      <c r="P4" s="76" t="s">
        <v>170</v>
      </c>
      <c r="Q4" s="75" t="s">
        <v>172</v>
      </c>
    </row>
    <row r="5" spans="1:17" x14ac:dyDescent="0.25">
      <c r="A5" s="46">
        <v>1</v>
      </c>
      <c r="B5" s="40"/>
      <c r="C5" s="41"/>
      <c r="D5" s="41"/>
      <c r="E5" s="41"/>
      <c r="F5" s="41"/>
      <c r="G5" s="41"/>
      <c r="H5" s="41">
        <v>35</v>
      </c>
      <c r="I5" s="41"/>
      <c r="J5" s="41">
        <v>38</v>
      </c>
      <c r="K5" s="41"/>
      <c r="L5" s="41">
        <v>37</v>
      </c>
      <c r="M5" s="41">
        <v>32</v>
      </c>
      <c r="N5" s="17"/>
      <c r="O5" s="42">
        <f>SUM(B5:N5)</f>
        <v>142</v>
      </c>
      <c r="P5" s="9">
        <f>SUMPRODUCT($B$18:$N$18,B21:N21)</f>
        <v>523</v>
      </c>
      <c r="Q5" s="18">
        <f>O5-P5/4</f>
        <v>11.25</v>
      </c>
    </row>
    <row r="6" spans="1:17" x14ac:dyDescent="0.25">
      <c r="A6" s="46">
        <v>2</v>
      </c>
      <c r="B6" s="42"/>
      <c r="C6" s="9"/>
      <c r="D6" s="9"/>
      <c r="E6" s="9">
        <v>27</v>
      </c>
      <c r="F6" s="9"/>
      <c r="G6" s="9"/>
      <c r="H6" s="9"/>
      <c r="I6" s="9"/>
      <c r="J6" s="9">
        <v>33</v>
      </c>
      <c r="K6" s="9">
        <v>29</v>
      </c>
      <c r="L6" s="9"/>
      <c r="M6" s="9"/>
      <c r="N6" s="18">
        <v>30</v>
      </c>
      <c r="O6" s="42">
        <f t="shared" ref="O6:O16" si="0">SUM(B6:N6)</f>
        <v>119</v>
      </c>
      <c r="P6" s="9">
        <f t="shared" ref="P6:P17" si="1">SUMPRODUCT($B$18:$N$18,B22:N22)</f>
        <v>496</v>
      </c>
      <c r="Q6" s="18">
        <f t="shared" ref="Q6:Q17" si="2">O6-P6/4</f>
        <v>-5</v>
      </c>
    </row>
    <row r="7" spans="1:17" x14ac:dyDescent="0.25">
      <c r="A7" s="46">
        <v>3</v>
      </c>
      <c r="B7" s="42">
        <v>25</v>
      </c>
      <c r="C7" s="9">
        <v>23</v>
      </c>
      <c r="D7" s="9"/>
      <c r="E7" s="9"/>
      <c r="F7" s="9"/>
      <c r="G7" s="9"/>
      <c r="H7" s="9"/>
      <c r="I7" s="9">
        <v>34</v>
      </c>
      <c r="J7" s="9">
        <v>37</v>
      </c>
      <c r="K7" s="9"/>
      <c r="L7" s="9"/>
      <c r="M7" s="9"/>
      <c r="N7" s="18"/>
      <c r="O7" s="42">
        <f t="shared" si="0"/>
        <v>119</v>
      </c>
      <c r="P7" s="9">
        <f t="shared" si="1"/>
        <v>482</v>
      </c>
      <c r="Q7" s="18">
        <f t="shared" si="2"/>
        <v>-1.5</v>
      </c>
    </row>
    <row r="8" spans="1:17" x14ac:dyDescent="0.25">
      <c r="A8" s="46">
        <v>4</v>
      </c>
      <c r="B8" s="42"/>
      <c r="C8" s="9">
        <v>20</v>
      </c>
      <c r="D8" s="9"/>
      <c r="E8" s="9"/>
      <c r="F8" s="9"/>
      <c r="G8" s="9">
        <v>31</v>
      </c>
      <c r="H8" s="9"/>
      <c r="I8" s="9"/>
      <c r="J8" s="9"/>
      <c r="K8" s="9">
        <v>31</v>
      </c>
      <c r="L8" s="9">
        <v>31</v>
      </c>
      <c r="M8" s="9"/>
      <c r="N8" s="18"/>
      <c r="O8" s="42">
        <f t="shared" si="0"/>
        <v>113</v>
      </c>
      <c r="P8" s="9">
        <f t="shared" si="1"/>
        <v>471</v>
      </c>
      <c r="Q8" s="18">
        <f t="shared" si="2"/>
        <v>-4.75</v>
      </c>
    </row>
    <row r="9" spans="1:17" x14ac:dyDescent="0.25">
      <c r="A9" s="46">
        <v>5</v>
      </c>
      <c r="B9" s="42"/>
      <c r="C9" s="9"/>
      <c r="D9" s="9"/>
      <c r="E9" s="9">
        <v>27</v>
      </c>
      <c r="F9" s="9"/>
      <c r="G9" s="9">
        <v>32</v>
      </c>
      <c r="H9" s="9">
        <v>31</v>
      </c>
      <c r="I9" s="9">
        <v>32</v>
      </c>
      <c r="J9" s="9"/>
      <c r="K9" s="9"/>
      <c r="L9" s="9"/>
      <c r="M9" s="9"/>
      <c r="N9" s="18"/>
      <c r="O9" s="42">
        <f t="shared" si="0"/>
        <v>122</v>
      </c>
      <c r="P9" s="9">
        <f t="shared" si="1"/>
        <v>488</v>
      </c>
      <c r="Q9" s="18">
        <f t="shared" si="2"/>
        <v>0</v>
      </c>
    </row>
    <row r="10" spans="1:17" x14ac:dyDescent="0.25">
      <c r="A10" s="46">
        <v>6</v>
      </c>
      <c r="B10" s="42">
        <v>29</v>
      </c>
      <c r="C10" s="9"/>
      <c r="D10" s="9"/>
      <c r="E10" s="9"/>
      <c r="F10" s="9"/>
      <c r="G10" s="9">
        <v>27</v>
      </c>
      <c r="H10" s="9"/>
      <c r="I10" s="9"/>
      <c r="J10" s="9"/>
      <c r="K10" s="9"/>
      <c r="L10" s="9"/>
      <c r="M10" s="9">
        <v>34</v>
      </c>
      <c r="N10" s="18">
        <v>32</v>
      </c>
      <c r="O10" s="42">
        <f t="shared" si="0"/>
        <v>122</v>
      </c>
      <c r="P10" s="9">
        <f t="shared" si="1"/>
        <v>494</v>
      </c>
      <c r="Q10" s="18">
        <f t="shared" si="2"/>
        <v>-1.5</v>
      </c>
    </row>
    <row r="11" spans="1:17" x14ac:dyDescent="0.25">
      <c r="A11" s="46">
        <v>7</v>
      </c>
      <c r="B11" s="42"/>
      <c r="C11" s="9"/>
      <c r="D11" s="9"/>
      <c r="E11" s="9"/>
      <c r="F11" s="9">
        <v>23</v>
      </c>
      <c r="G11" s="9"/>
      <c r="H11" s="9"/>
      <c r="I11" s="9">
        <v>33</v>
      </c>
      <c r="J11" s="9"/>
      <c r="K11" s="9"/>
      <c r="L11" s="9">
        <v>31</v>
      </c>
      <c r="M11" s="9"/>
      <c r="N11" s="18">
        <v>39</v>
      </c>
      <c r="O11" s="42">
        <f t="shared" si="0"/>
        <v>126</v>
      </c>
      <c r="P11" s="9">
        <f t="shared" si="1"/>
        <v>508</v>
      </c>
      <c r="Q11" s="18">
        <f t="shared" si="2"/>
        <v>-1</v>
      </c>
    </row>
    <row r="12" spans="1:17" x14ac:dyDescent="0.25">
      <c r="A12" s="46">
        <v>8</v>
      </c>
      <c r="B12" s="42"/>
      <c r="C12" s="9">
        <v>33</v>
      </c>
      <c r="D12" s="9"/>
      <c r="E12" s="9">
        <v>36</v>
      </c>
      <c r="F12" s="9">
        <v>31</v>
      </c>
      <c r="G12" s="9"/>
      <c r="H12" s="9"/>
      <c r="I12" s="9"/>
      <c r="J12" s="9"/>
      <c r="K12" s="9"/>
      <c r="L12" s="9"/>
      <c r="M12" s="9">
        <v>28</v>
      </c>
      <c r="N12" s="18"/>
      <c r="O12" s="42">
        <f t="shared" si="0"/>
        <v>128</v>
      </c>
      <c r="P12" s="9">
        <f t="shared" si="1"/>
        <v>458</v>
      </c>
      <c r="Q12" s="18">
        <f t="shared" si="2"/>
        <v>13.5</v>
      </c>
    </row>
    <row r="13" spans="1:17" x14ac:dyDescent="0.25">
      <c r="A13" s="46">
        <v>9</v>
      </c>
      <c r="B13" s="42">
        <v>29</v>
      </c>
      <c r="C13" s="9"/>
      <c r="D13" s="9"/>
      <c r="E13" s="9"/>
      <c r="F13" s="9">
        <v>31</v>
      </c>
      <c r="G13" s="9"/>
      <c r="H13" s="9">
        <v>26</v>
      </c>
      <c r="I13" s="9"/>
      <c r="J13" s="9"/>
      <c r="K13" s="9">
        <v>27</v>
      </c>
      <c r="L13" s="9"/>
      <c r="M13" s="9"/>
      <c r="N13" s="18"/>
      <c r="O13" s="42">
        <f t="shared" si="0"/>
        <v>113</v>
      </c>
      <c r="P13" s="9">
        <f t="shared" si="1"/>
        <v>469</v>
      </c>
      <c r="Q13" s="18">
        <f t="shared" si="2"/>
        <v>-4.25</v>
      </c>
    </row>
    <row r="14" spans="1:17" x14ac:dyDescent="0.25">
      <c r="A14" s="46">
        <v>10</v>
      </c>
      <c r="B14" s="42"/>
      <c r="C14" s="9"/>
      <c r="D14" s="9">
        <v>16</v>
      </c>
      <c r="E14" s="9"/>
      <c r="F14" s="9">
        <v>32</v>
      </c>
      <c r="G14" s="9">
        <v>33</v>
      </c>
      <c r="H14" s="9"/>
      <c r="I14" s="9"/>
      <c r="J14" s="9">
        <v>31</v>
      </c>
      <c r="K14" s="9"/>
      <c r="L14" s="9"/>
      <c r="M14" s="9"/>
      <c r="N14" s="18"/>
      <c r="O14" s="42">
        <f t="shared" si="0"/>
        <v>112</v>
      </c>
      <c r="P14" s="9">
        <f t="shared" si="1"/>
        <v>473</v>
      </c>
      <c r="Q14" s="18">
        <f t="shared" si="2"/>
        <v>-6.25</v>
      </c>
    </row>
    <row r="15" spans="1:17" x14ac:dyDescent="0.25">
      <c r="A15" s="46">
        <v>11</v>
      </c>
      <c r="B15" s="42">
        <v>25</v>
      </c>
      <c r="C15" s="9"/>
      <c r="D15" s="9">
        <v>19</v>
      </c>
      <c r="E15" s="9">
        <v>17</v>
      </c>
      <c r="F15" s="9"/>
      <c r="G15" s="9"/>
      <c r="H15" s="9"/>
      <c r="I15" s="9"/>
      <c r="J15" s="9">
        <v>0</v>
      </c>
      <c r="K15" s="9"/>
      <c r="L15" s="9">
        <v>28</v>
      </c>
      <c r="M15" s="9"/>
      <c r="N15" s="18"/>
      <c r="O15" s="42">
        <f t="shared" si="0"/>
        <v>89</v>
      </c>
      <c r="P15" s="9">
        <f t="shared" si="1"/>
        <v>436</v>
      </c>
      <c r="Q15" s="18">
        <f t="shared" si="2"/>
        <v>-20</v>
      </c>
    </row>
    <row r="16" spans="1:17" x14ac:dyDescent="0.25">
      <c r="A16" s="46">
        <v>12</v>
      </c>
      <c r="B16" s="42"/>
      <c r="C16" s="9">
        <v>23</v>
      </c>
      <c r="D16" s="9">
        <v>32</v>
      </c>
      <c r="E16" s="9"/>
      <c r="F16" s="9"/>
      <c r="G16" s="9"/>
      <c r="H16" s="9">
        <v>30</v>
      </c>
      <c r="I16" s="9"/>
      <c r="J16" s="9"/>
      <c r="K16" s="9"/>
      <c r="L16" s="9"/>
      <c r="M16" s="9"/>
      <c r="N16" s="18">
        <v>27</v>
      </c>
      <c r="O16" s="42">
        <f t="shared" si="0"/>
        <v>112</v>
      </c>
      <c r="P16" s="9">
        <f t="shared" si="1"/>
        <v>443</v>
      </c>
      <c r="Q16" s="18">
        <f t="shared" si="2"/>
        <v>1.25</v>
      </c>
    </row>
    <row r="17" spans="1:17" ht="15.75" thickBot="1" x14ac:dyDescent="0.3">
      <c r="A17" s="27">
        <v>13</v>
      </c>
      <c r="B17" s="60"/>
      <c r="C17" s="43"/>
      <c r="D17" s="43">
        <v>27</v>
      </c>
      <c r="E17" s="43"/>
      <c r="F17" s="43"/>
      <c r="G17" s="43"/>
      <c r="H17" s="43"/>
      <c r="I17" s="43">
        <v>37</v>
      </c>
      <c r="J17" s="43"/>
      <c r="K17" s="43">
        <v>35</v>
      </c>
      <c r="L17" s="43"/>
      <c r="M17" s="43">
        <v>41</v>
      </c>
      <c r="N17" s="19"/>
      <c r="O17" s="60">
        <f>SUM(B17:N17)</f>
        <v>140</v>
      </c>
      <c r="P17" s="43">
        <f t="shared" si="1"/>
        <v>487</v>
      </c>
      <c r="Q17" s="19">
        <f t="shared" si="2"/>
        <v>18.25</v>
      </c>
    </row>
    <row r="18" spans="1:17" ht="15.75" thickBot="1" x14ac:dyDescent="0.3">
      <c r="A18" s="45" t="s">
        <v>146</v>
      </c>
      <c r="B18" s="77">
        <f>SUM(B5:B17)</f>
        <v>108</v>
      </c>
      <c r="C18" s="77">
        <f t="shared" ref="C18:N18" si="3">SUM(C5:C17)</f>
        <v>99</v>
      </c>
      <c r="D18" s="77">
        <f t="shared" si="3"/>
        <v>94</v>
      </c>
      <c r="E18" s="77">
        <f t="shared" si="3"/>
        <v>107</v>
      </c>
      <c r="F18" s="77">
        <f t="shared" si="3"/>
        <v>117</v>
      </c>
      <c r="G18" s="77">
        <f t="shared" si="3"/>
        <v>123</v>
      </c>
      <c r="H18" s="77">
        <f t="shared" si="3"/>
        <v>122</v>
      </c>
      <c r="I18" s="77">
        <f t="shared" si="3"/>
        <v>136</v>
      </c>
      <c r="J18" s="77">
        <f t="shared" si="3"/>
        <v>139</v>
      </c>
      <c r="K18" s="77">
        <f t="shared" si="3"/>
        <v>122</v>
      </c>
      <c r="L18" s="77">
        <f t="shared" si="3"/>
        <v>127</v>
      </c>
      <c r="M18" s="77">
        <f t="shared" si="3"/>
        <v>135</v>
      </c>
      <c r="N18" s="78">
        <f t="shared" si="3"/>
        <v>128</v>
      </c>
      <c r="O18" s="50">
        <f>SUM(O5:O17)</f>
        <v>1557</v>
      </c>
    </row>
    <row r="20" spans="1:17" x14ac:dyDescent="0.25">
      <c r="B20" s="84" t="s">
        <v>147</v>
      </c>
      <c r="C20" s="84"/>
      <c r="D20" s="84"/>
      <c r="E20" s="84"/>
      <c r="F20" s="84"/>
      <c r="G20" s="84"/>
      <c r="H20" s="84"/>
      <c r="I20" s="88"/>
      <c r="J20" s="88"/>
      <c r="K20" s="88"/>
      <c r="L20" s="88"/>
      <c r="M20" s="88"/>
      <c r="N20" s="88"/>
    </row>
    <row r="21" spans="1:17" x14ac:dyDescent="0.25">
      <c r="A21" s="9"/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1</v>
      </c>
      <c r="N21" s="1">
        <v>0</v>
      </c>
    </row>
    <row r="22" spans="1:17" x14ac:dyDescent="0.25">
      <c r="A22" s="9"/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1</v>
      </c>
    </row>
    <row r="23" spans="1:17" x14ac:dyDescent="0.25">
      <c r="A23" s="9"/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</row>
    <row r="24" spans="1:17" x14ac:dyDescent="0.25">
      <c r="A24" s="9"/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</row>
    <row r="25" spans="1:17" x14ac:dyDescent="0.25">
      <c r="A25" s="9" t="s">
        <v>148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7" x14ac:dyDescent="0.25">
      <c r="A26" s="9"/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</row>
    <row r="27" spans="1:17" x14ac:dyDescent="0.25">
      <c r="A27" s="9"/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</row>
    <row r="28" spans="1:17" x14ac:dyDescent="0.25">
      <c r="A28" s="9"/>
      <c r="B28" s="1">
        <v>0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</row>
    <row r="29" spans="1:17" x14ac:dyDescent="0.25">
      <c r="A29" s="9"/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</row>
    <row r="30" spans="1:17" x14ac:dyDescent="0.25">
      <c r="A30" s="9"/>
      <c r="B30" s="1">
        <v>0</v>
      </c>
      <c r="C30" s="1">
        <v>0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</row>
    <row r="31" spans="1:17" x14ac:dyDescent="0.25">
      <c r="A31" s="9"/>
      <c r="B31" s="1">
        <v>1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</row>
    <row r="32" spans="1:17" x14ac:dyDescent="0.25">
      <c r="A32" s="9"/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</row>
    <row r="33" spans="1:14" x14ac:dyDescent="0.25">
      <c r="A33" s="9"/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</row>
    <row r="35" spans="1:14" x14ac:dyDescent="0.25">
      <c r="B35" s="2" t="s">
        <v>149</v>
      </c>
      <c r="C35" s="1">
        <v>13</v>
      </c>
      <c r="E35" s="2" t="s">
        <v>154</v>
      </c>
      <c r="F35" s="1">
        <v>1557</v>
      </c>
      <c r="H35" s="2" t="s">
        <v>161</v>
      </c>
      <c r="I35" s="1">
        <f>C39*C35/(C37*C38)</f>
        <v>0.8125</v>
      </c>
    </row>
    <row r="36" spans="1:14" x14ac:dyDescent="0.25">
      <c r="B36" s="2" t="s">
        <v>150</v>
      </c>
      <c r="C36" s="1">
        <v>13</v>
      </c>
      <c r="E36" s="2" t="s">
        <v>155</v>
      </c>
      <c r="F36" s="1">
        <f>F35^2/(C36*C38)</f>
        <v>46620.173076923078</v>
      </c>
      <c r="G36" s="115" t="s">
        <v>159</v>
      </c>
      <c r="H36" s="115"/>
      <c r="I36" s="1">
        <f>SUMSQ(Q5:Q17)/(C37*I35)</f>
        <v>354.96153846153845</v>
      </c>
    </row>
    <row r="37" spans="1:14" x14ac:dyDescent="0.25">
      <c r="B37" s="2" t="s">
        <v>151</v>
      </c>
      <c r="C37" s="1">
        <v>4</v>
      </c>
      <c r="E37" s="2" t="s">
        <v>156</v>
      </c>
      <c r="F37" s="1">
        <f>SUMSQ(B5:N17)</f>
        <v>48083</v>
      </c>
      <c r="H37" s="2" t="s">
        <v>160</v>
      </c>
      <c r="I37" s="1">
        <f>F38-F39-I36</f>
        <v>505.28846153846155</v>
      </c>
    </row>
    <row r="38" spans="1:14" x14ac:dyDescent="0.25">
      <c r="B38" s="2" t="s">
        <v>152</v>
      </c>
      <c r="C38" s="1">
        <v>4</v>
      </c>
      <c r="E38" s="2" t="s">
        <v>157</v>
      </c>
      <c r="F38" s="1">
        <f>F37-F36</f>
        <v>1462.826923076922</v>
      </c>
    </row>
    <row r="39" spans="1:14" x14ac:dyDescent="0.25">
      <c r="B39" s="12" t="s">
        <v>153</v>
      </c>
      <c r="C39" s="1">
        <v>1</v>
      </c>
      <c r="D39" s="114" t="s">
        <v>158</v>
      </c>
      <c r="E39" s="114"/>
      <c r="F39" s="1">
        <f>SUMSQ(B18:N18)/C38-F36</f>
        <v>602.57692307692196</v>
      </c>
    </row>
    <row r="40" spans="1:14" ht="15.75" thickBot="1" x14ac:dyDescent="0.3"/>
    <row r="41" spans="1:14" ht="15.75" thickBot="1" x14ac:dyDescent="0.3">
      <c r="A41" s="89" t="s">
        <v>64</v>
      </c>
      <c r="B41" s="90"/>
      <c r="C41" s="90"/>
      <c r="D41" s="90"/>
      <c r="E41" s="90"/>
      <c r="F41" s="91"/>
    </row>
    <row r="42" spans="1:14" ht="15" customHeight="1" x14ac:dyDescent="0.25">
      <c r="A42" s="102" t="s">
        <v>65</v>
      </c>
      <c r="B42" s="101" t="s">
        <v>66</v>
      </c>
      <c r="C42" s="101" t="s">
        <v>85</v>
      </c>
      <c r="D42" s="101" t="s">
        <v>86</v>
      </c>
      <c r="E42" s="101" t="s">
        <v>69</v>
      </c>
      <c r="F42" s="98" t="s">
        <v>73</v>
      </c>
    </row>
    <row r="43" spans="1:14" ht="15.75" thickBot="1" x14ac:dyDescent="0.3">
      <c r="A43" s="103"/>
      <c r="B43" s="104"/>
      <c r="C43" s="104"/>
      <c r="D43" s="104"/>
      <c r="E43" s="104"/>
      <c r="F43" s="99"/>
    </row>
    <row r="44" spans="1:14" x14ac:dyDescent="0.25">
      <c r="A44" s="42" t="s">
        <v>87</v>
      </c>
      <c r="B44" s="9">
        <v>12</v>
      </c>
      <c r="C44" s="9">
        <f>I36</f>
        <v>354.96153846153845</v>
      </c>
      <c r="D44" s="9">
        <f>C44/B44</f>
        <v>29.580128205128204</v>
      </c>
      <c r="E44" s="9">
        <f>D44/D46</f>
        <v>1.5806089438629876</v>
      </c>
      <c r="F44" s="18">
        <f>FDIST(E44,B44,C$23)</f>
        <v>0.55817178693337932</v>
      </c>
      <c r="H44" s="84" t="s">
        <v>168</v>
      </c>
      <c r="I44" s="84"/>
      <c r="J44" s="84"/>
      <c r="K44" s="84"/>
      <c r="L44" s="84"/>
      <c r="M44" s="84"/>
      <c r="N44" s="88"/>
    </row>
    <row r="45" spans="1:14" x14ac:dyDescent="0.25">
      <c r="A45" s="42" t="s">
        <v>88</v>
      </c>
      <c r="B45" s="9">
        <v>12</v>
      </c>
      <c r="C45" s="9">
        <f>F39</f>
        <v>602.57692307692196</v>
      </c>
      <c r="D45" s="9">
        <f>C45/B45</f>
        <v>50.214743589743499</v>
      </c>
      <c r="E45" s="9">
        <f>D45/D46</f>
        <v>2.6832159847763988</v>
      </c>
      <c r="F45" s="18">
        <f>FDIST(E45,B45,C$23)</f>
        <v>0.44707007782663788</v>
      </c>
      <c r="H45" s="84"/>
      <c r="I45" s="84"/>
      <c r="J45" s="84"/>
      <c r="K45" s="84"/>
      <c r="L45" s="84"/>
      <c r="M45" s="84"/>
      <c r="N45" s="88"/>
    </row>
    <row r="46" spans="1:14" ht="15.75" thickBot="1" x14ac:dyDescent="0.3">
      <c r="A46" s="42" t="s">
        <v>71</v>
      </c>
      <c r="B46" s="9">
        <f>B47-B45-B44</f>
        <v>27</v>
      </c>
      <c r="C46" s="9">
        <f>I37</f>
        <v>505.28846153846155</v>
      </c>
      <c r="D46" s="9">
        <f>C46/B46</f>
        <v>18.714387464387464</v>
      </c>
      <c r="E46" s="9"/>
      <c r="F46" s="18"/>
    </row>
    <row r="47" spans="1:14" ht="15.75" thickBot="1" x14ac:dyDescent="0.3">
      <c r="A47" s="47" t="s">
        <v>72</v>
      </c>
      <c r="B47" s="48">
        <v>51</v>
      </c>
      <c r="C47" s="48">
        <f>F38</f>
        <v>1462.826923076922</v>
      </c>
      <c r="D47" s="48"/>
      <c r="E47" s="48"/>
      <c r="F47" s="16"/>
    </row>
    <row r="49" spans="1:8" x14ac:dyDescent="0.25">
      <c r="A49" s="84" t="s">
        <v>167</v>
      </c>
      <c r="B49" s="84"/>
      <c r="C49" s="84"/>
      <c r="D49" s="84"/>
    </row>
    <row r="50" spans="1:8" x14ac:dyDescent="0.25">
      <c r="B50" s="1" t="s">
        <v>164</v>
      </c>
      <c r="C50" s="1">
        <f>O18/52</f>
        <v>29.942307692307693</v>
      </c>
    </row>
    <row r="51" spans="1:8" ht="18" customHeight="1" x14ac:dyDescent="0.25">
      <c r="A51" s="110" t="s">
        <v>162</v>
      </c>
      <c r="B51" s="110"/>
      <c r="C51" s="1">
        <f>TINV(0.05,27)</f>
        <v>2.0518305164802859</v>
      </c>
    </row>
    <row r="52" spans="1:8" x14ac:dyDescent="0.25">
      <c r="B52" s="1" t="s">
        <v>92</v>
      </c>
      <c r="C52" s="1">
        <f>SQRT(2*D46/(I35*C37))*C51</f>
        <v>6.963099650420367</v>
      </c>
    </row>
    <row r="53" spans="1:8" x14ac:dyDescent="0.25">
      <c r="B53" s="1" t="s">
        <v>163</v>
      </c>
      <c r="C53" s="1">
        <f>$C$38*Q5/($C$39*C$35)+$C$50</f>
        <v>33.403846153846153</v>
      </c>
    </row>
    <row r="54" spans="1:8" x14ac:dyDescent="0.25">
      <c r="B54" s="1" t="s">
        <v>165</v>
      </c>
      <c r="C54" s="1">
        <f>$C$38*Q6/($C$39*C$35)+$C$50</f>
        <v>28.403846153846153</v>
      </c>
    </row>
    <row r="55" spans="1:8" ht="19.5" customHeight="1" x14ac:dyDescent="0.25">
      <c r="A55" s="110" t="s">
        <v>169</v>
      </c>
      <c r="B55" s="110"/>
      <c r="C55" s="1">
        <f>ABS(C53-C54)</f>
        <v>5</v>
      </c>
      <c r="D55" s="109" t="s">
        <v>166</v>
      </c>
      <c r="E55" s="109"/>
      <c r="F55" s="109"/>
      <c r="G55" s="109"/>
      <c r="H55" s="109"/>
    </row>
    <row r="56" spans="1:8" x14ac:dyDescent="0.25">
      <c r="D56" s="109"/>
      <c r="E56" s="109"/>
      <c r="F56" s="109"/>
      <c r="G56" s="109"/>
      <c r="H56" s="109"/>
    </row>
  </sheetData>
  <mergeCells count="18">
    <mergeCell ref="A1:I1"/>
    <mergeCell ref="A3:A4"/>
    <mergeCell ref="B3:N3"/>
    <mergeCell ref="A42:A43"/>
    <mergeCell ref="D42:D43"/>
    <mergeCell ref="E42:E43"/>
    <mergeCell ref="A41:F41"/>
    <mergeCell ref="B20:N20"/>
    <mergeCell ref="D39:E39"/>
    <mergeCell ref="G36:H36"/>
    <mergeCell ref="B42:B43"/>
    <mergeCell ref="C42:C43"/>
    <mergeCell ref="F42:F43"/>
    <mergeCell ref="A49:D49"/>
    <mergeCell ref="D55:H56"/>
    <mergeCell ref="H44:N45"/>
    <mergeCell ref="A55:B55"/>
    <mergeCell ref="A51:B51"/>
  </mergeCells>
  <pageMargins left="0.7" right="0.7" top="0.75" bottom="0.75" header="0.3" footer="0.3"/>
  <pageSetup orientation="landscape" verticalDpi="0" r:id="rId1"/>
  <ignoredErrors>
    <ignoredError sqref="O5:O17 B18:N18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M22" sqref="M22"/>
    </sheetView>
  </sheetViews>
  <sheetFormatPr defaultRowHeight="15" x14ac:dyDescent="0.25"/>
  <cols>
    <col min="1" max="1" width="10" style="1" customWidth="1"/>
    <col min="2" max="6" width="9.140625" style="1"/>
    <col min="7" max="7" width="9.5703125" style="1" customWidth="1"/>
    <col min="8" max="16384" width="9.140625" style="1"/>
  </cols>
  <sheetData>
    <row r="1" spans="1:9" ht="15.75" thickBot="1" x14ac:dyDescent="0.3">
      <c r="A1" s="85" t="s">
        <v>245</v>
      </c>
      <c r="B1" s="86"/>
      <c r="C1" s="86"/>
      <c r="D1" s="86"/>
      <c r="E1" s="87"/>
    </row>
    <row r="2" spans="1:9" ht="15.75" thickBot="1" x14ac:dyDescent="0.3"/>
    <row r="3" spans="1:9" ht="15.75" thickBot="1" x14ac:dyDescent="0.3">
      <c r="B3" s="89" t="s">
        <v>173</v>
      </c>
      <c r="C3" s="90"/>
      <c r="D3" s="89" t="s">
        <v>174</v>
      </c>
      <c r="E3" s="90"/>
      <c r="F3" s="89" t="s">
        <v>175</v>
      </c>
      <c r="G3" s="90"/>
      <c r="H3" s="89" t="s">
        <v>176</v>
      </c>
      <c r="I3" s="91"/>
    </row>
    <row r="4" spans="1:9" x14ac:dyDescent="0.25">
      <c r="B4" s="42">
        <v>291</v>
      </c>
      <c r="C4" s="9" t="s">
        <v>177</v>
      </c>
      <c r="D4" s="42">
        <v>406</v>
      </c>
      <c r="E4" s="9" t="s">
        <v>189</v>
      </c>
      <c r="F4" s="42">
        <v>323</v>
      </c>
      <c r="G4" s="9" t="s">
        <v>178</v>
      </c>
      <c r="H4" s="42">
        <v>301</v>
      </c>
      <c r="I4" s="18" t="s">
        <v>179</v>
      </c>
    </row>
    <row r="5" spans="1:9" x14ac:dyDescent="0.25">
      <c r="B5" s="42">
        <v>290</v>
      </c>
      <c r="C5" s="9" t="s">
        <v>189</v>
      </c>
      <c r="D5" s="42">
        <v>304</v>
      </c>
      <c r="E5" s="9" t="s">
        <v>178</v>
      </c>
      <c r="F5" s="42">
        <v>86</v>
      </c>
      <c r="G5" s="9">
        <v>1</v>
      </c>
      <c r="H5" s="42">
        <v>272</v>
      </c>
      <c r="I5" s="18" t="s">
        <v>177</v>
      </c>
    </row>
    <row r="6" spans="1:9" x14ac:dyDescent="0.25">
      <c r="B6" s="42">
        <v>300</v>
      </c>
      <c r="C6" s="9" t="s">
        <v>178</v>
      </c>
      <c r="D6" s="42">
        <v>202</v>
      </c>
      <c r="E6" s="9" t="s">
        <v>182</v>
      </c>
      <c r="F6" s="42">
        <v>304</v>
      </c>
      <c r="G6" s="9" t="s">
        <v>179</v>
      </c>
      <c r="H6" s="42">
        <v>102</v>
      </c>
      <c r="I6" s="18" t="s">
        <v>180</v>
      </c>
    </row>
    <row r="7" spans="1:9" x14ac:dyDescent="0.25">
      <c r="B7" s="42">
        <v>313</v>
      </c>
      <c r="C7" s="9" t="s">
        <v>179</v>
      </c>
      <c r="D7" s="42">
        <v>307</v>
      </c>
      <c r="E7" s="9" t="s">
        <v>177</v>
      </c>
      <c r="F7" s="42">
        <v>403</v>
      </c>
      <c r="G7" s="9" t="s">
        <v>189</v>
      </c>
      <c r="H7" s="42">
        <v>304</v>
      </c>
      <c r="I7" s="18" t="s">
        <v>178</v>
      </c>
    </row>
    <row r="8" spans="1:9" x14ac:dyDescent="0.25">
      <c r="B8" s="42">
        <v>100</v>
      </c>
      <c r="C8" s="9">
        <v>1</v>
      </c>
      <c r="D8" s="42">
        <v>89</v>
      </c>
      <c r="E8" s="9" t="s">
        <v>180</v>
      </c>
      <c r="F8" s="42">
        <v>304</v>
      </c>
      <c r="G8" s="9" t="s">
        <v>177</v>
      </c>
      <c r="H8" s="42">
        <v>300</v>
      </c>
      <c r="I8" s="18" t="s">
        <v>182</v>
      </c>
    </row>
    <row r="9" spans="1:9" x14ac:dyDescent="0.25">
      <c r="B9" s="42">
        <v>105</v>
      </c>
      <c r="C9" s="9" t="s">
        <v>180</v>
      </c>
      <c r="D9" s="42">
        <v>448</v>
      </c>
      <c r="E9" s="9" t="s">
        <v>181</v>
      </c>
      <c r="F9" s="42">
        <v>209</v>
      </c>
      <c r="G9" s="9" t="s">
        <v>182</v>
      </c>
      <c r="H9" s="42">
        <v>131</v>
      </c>
      <c r="I9" s="18">
        <v>1</v>
      </c>
    </row>
    <row r="10" spans="1:9" x14ac:dyDescent="0.25">
      <c r="B10" s="42">
        <v>405</v>
      </c>
      <c r="C10" s="9" t="s">
        <v>181</v>
      </c>
      <c r="D10" s="42">
        <v>308</v>
      </c>
      <c r="E10" s="9" t="s">
        <v>179</v>
      </c>
      <c r="F10" s="42">
        <v>108</v>
      </c>
      <c r="G10" s="9" t="s">
        <v>180</v>
      </c>
      <c r="H10" s="42">
        <v>407</v>
      </c>
      <c r="I10" s="18" t="s">
        <v>181</v>
      </c>
    </row>
    <row r="11" spans="1:9" ht="15.75" thickBot="1" x14ac:dyDescent="0.3">
      <c r="B11" s="60">
        <v>215</v>
      </c>
      <c r="C11" s="43" t="s">
        <v>182</v>
      </c>
      <c r="D11" s="60">
        <v>100</v>
      </c>
      <c r="E11" s="43">
        <v>1</v>
      </c>
      <c r="F11" s="60">
        <v>401</v>
      </c>
      <c r="G11" s="43" t="s">
        <v>181</v>
      </c>
      <c r="H11" s="60">
        <v>405</v>
      </c>
      <c r="I11" s="19" t="s">
        <v>189</v>
      </c>
    </row>
    <row r="12" spans="1:9" s="2" customFormat="1" ht="18.75" thickBot="1" x14ac:dyDescent="0.3">
      <c r="A12" s="2" t="s">
        <v>201</v>
      </c>
      <c r="B12" s="79">
        <f>SUM(B4:B11)</f>
        <v>2019</v>
      </c>
      <c r="C12" s="44"/>
      <c r="D12" s="79">
        <f t="shared" ref="D12:H12" si="0">SUM(D4:D11)</f>
        <v>2164</v>
      </c>
      <c r="E12" s="44"/>
      <c r="F12" s="79">
        <f t="shared" si="0"/>
        <v>2138</v>
      </c>
      <c r="G12" s="44"/>
      <c r="H12" s="79">
        <f t="shared" si="0"/>
        <v>2222</v>
      </c>
      <c r="I12" s="8"/>
    </row>
    <row r="13" spans="1:9" ht="15.75" thickBot="1" x14ac:dyDescent="0.3"/>
    <row r="14" spans="1:9" ht="15.75" thickBot="1" x14ac:dyDescent="0.3">
      <c r="B14" s="89" t="s">
        <v>183</v>
      </c>
      <c r="C14" s="90"/>
      <c r="D14" s="90"/>
      <c r="E14" s="90"/>
      <c r="F14" s="90"/>
      <c r="G14" s="91"/>
      <c r="H14" s="2"/>
    </row>
    <row r="15" spans="1:9" ht="15.75" thickBot="1" x14ac:dyDescent="0.3">
      <c r="B15" s="50" t="s">
        <v>184</v>
      </c>
      <c r="C15" s="16" t="s">
        <v>185</v>
      </c>
      <c r="D15" s="16" t="s">
        <v>186</v>
      </c>
      <c r="E15" s="16" t="s">
        <v>187</v>
      </c>
      <c r="F15" s="16" t="s">
        <v>188</v>
      </c>
      <c r="G15" s="16" t="s">
        <v>191</v>
      </c>
    </row>
    <row r="16" spans="1:9" x14ac:dyDescent="0.25">
      <c r="B16" s="49">
        <v>1</v>
      </c>
      <c r="C16" s="18">
        <f>B8+D11+F5+H9</f>
        <v>417</v>
      </c>
      <c r="D16" s="18">
        <f>C16+C17</f>
        <v>1648</v>
      </c>
      <c r="E16" s="18">
        <f t="shared" ref="E16:F16" si="1">D16+D17</f>
        <v>4078</v>
      </c>
      <c r="F16" s="18">
        <f t="shared" si="1"/>
        <v>8543</v>
      </c>
      <c r="G16" s="18">
        <f>F16^2/(8*4)</f>
        <v>2280714.03125</v>
      </c>
      <c r="H16" s="24" t="s">
        <v>199</v>
      </c>
    </row>
    <row r="17" spans="1:8" x14ac:dyDescent="0.25">
      <c r="B17" s="49" t="s">
        <v>178</v>
      </c>
      <c r="C17" s="18">
        <f>B6+D5+F4+H7</f>
        <v>1231</v>
      </c>
      <c r="D17" s="18">
        <f>C18+C19</f>
        <v>2430</v>
      </c>
      <c r="E17" s="18">
        <f t="shared" ref="E17:F17" si="2">D18+D19</f>
        <v>4465</v>
      </c>
      <c r="F17" s="18">
        <f t="shared" si="2"/>
        <v>-2701</v>
      </c>
      <c r="G17" s="18">
        <f t="shared" ref="G17:G23" si="3">F17^2/(8*4)</f>
        <v>227981.28125</v>
      </c>
      <c r="H17" s="24" t="s">
        <v>192</v>
      </c>
    </row>
    <row r="18" spans="1:8" x14ac:dyDescent="0.25">
      <c r="B18" s="49" t="s">
        <v>182</v>
      </c>
      <c r="C18" s="18">
        <f>B11+D6+F9+H8</f>
        <v>926</v>
      </c>
      <c r="D18" s="18">
        <f>C20+C21</f>
        <v>1630</v>
      </c>
      <c r="E18" s="18">
        <f t="shared" ref="E18:F18" si="4">D20+D21</f>
        <v>-1392</v>
      </c>
      <c r="F18" s="18">
        <f t="shared" si="4"/>
        <v>-1987</v>
      </c>
      <c r="G18" s="18">
        <f t="shared" si="3"/>
        <v>123380.28125</v>
      </c>
      <c r="H18" s="24" t="s">
        <v>193</v>
      </c>
    </row>
    <row r="19" spans="1:8" x14ac:dyDescent="0.25">
      <c r="B19" s="49" t="s">
        <v>189</v>
      </c>
      <c r="C19" s="18">
        <f>B5+D4+F7+H11</f>
        <v>1504</v>
      </c>
      <c r="D19" s="18">
        <f>C22+C23</f>
        <v>2835</v>
      </c>
      <c r="E19" s="18">
        <f t="shared" ref="E19:F19" si="5">D22+D23</f>
        <v>-1309</v>
      </c>
      <c r="F19" s="18">
        <f t="shared" si="5"/>
        <v>-571</v>
      </c>
      <c r="G19" s="18">
        <f t="shared" si="3"/>
        <v>10188.78125</v>
      </c>
      <c r="H19" s="24" t="s">
        <v>194</v>
      </c>
    </row>
    <row r="20" spans="1:8" x14ac:dyDescent="0.25">
      <c r="B20" s="49" t="s">
        <v>180</v>
      </c>
      <c r="C20" s="18">
        <f>B9+D8+F10+H6</f>
        <v>404</v>
      </c>
      <c r="D20" s="18">
        <f>-C17+C16</f>
        <v>-814</v>
      </c>
      <c r="E20" s="18">
        <f t="shared" ref="E20:F20" si="6">-D17+D16</f>
        <v>-782</v>
      </c>
      <c r="F20" s="18">
        <f t="shared" si="6"/>
        <v>-387</v>
      </c>
      <c r="G20" s="18">
        <f t="shared" si="3"/>
        <v>4680.28125</v>
      </c>
      <c r="H20" s="24" t="s">
        <v>195</v>
      </c>
    </row>
    <row r="21" spans="1:8" x14ac:dyDescent="0.25">
      <c r="B21" s="49" t="s">
        <v>179</v>
      </c>
      <c r="C21" s="18">
        <f>B7+D10+F6+H4</f>
        <v>1226</v>
      </c>
      <c r="D21" s="18">
        <f>-C19+C18</f>
        <v>-578</v>
      </c>
      <c r="E21" s="18">
        <f t="shared" ref="E21:F21" si="7">-D19+D18</f>
        <v>-1205</v>
      </c>
      <c r="F21" s="18">
        <f t="shared" si="7"/>
        <v>-83</v>
      </c>
      <c r="G21" s="18">
        <f t="shared" si="3"/>
        <v>215.28125</v>
      </c>
      <c r="H21" s="24" t="s">
        <v>196</v>
      </c>
    </row>
    <row r="22" spans="1:8" x14ac:dyDescent="0.25">
      <c r="B22" s="49" t="s">
        <v>177</v>
      </c>
      <c r="C22" s="18">
        <f>B4+D7+F8+H5</f>
        <v>1174</v>
      </c>
      <c r="D22" s="18">
        <f>-C21+C20</f>
        <v>-822</v>
      </c>
      <c r="E22" s="18">
        <f t="shared" ref="E22:F22" si="8">-D21+D20</f>
        <v>-236</v>
      </c>
      <c r="F22" s="18">
        <f t="shared" si="8"/>
        <v>423</v>
      </c>
      <c r="G22" s="18">
        <f t="shared" si="3"/>
        <v>5591.53125</v>
      </c>
      <c r="H22" s="24" t="s">
        <v>197</v>
      </c>
    </row>
    <row r="23" spans="1:8" ht="15.75" thickBot="1" x14ac:dyDescent="0.3">
      <c r="B23" s="52" t="s">
        <v>190</v>
      </c>
      <c r="C23" s="19">
        <f>B10+D9+F11+H10</f>
        <v>1661</v>
      </c>
      <c r="D23" s="19">
        <f>-C23+C22</f>
        <v>-487</v>
      </c>
      <c r="E23" s="19">
        <f t="shared" ref="E23:F23" si="9">-D23+D22</f>
        <v>-335</v>
      </c>
      <c r="F23" s="19">
        <f t="shared" si="9"/>
        <v>99</v>
      </c>
      <c r="G23" s="19">
        <f t="shared" si="3"/>
        <v>306.28125</v>
      </c>
      <c r="H23" s="24" t="s">
        <v>198</v>
      </c>
    </row>
    <row r="24" spans="1:8" x14ac:dyDescent="0.25">
      <c r="B24" s="9"/>
      <c r="C24" s="9"/>
      <c r="D24" s="9"/>
      <c r="E24" s="9"/>
      <c r="F24" s="9"/>
      <c r="G24" s="9"/>
    </row>
    <row r="25" spans="1:8" x14ac:dyDescent="0.25">
      <c r="A25" s="1" t="s">
        <v>202</v>
      </c>
      <c r="B25" s="2" t="s">
        <v>157</v>
      </c>
      <c r="C25" s="1">
        <f>SUMSQ(B4:B11,D4:D11,F4:F11,H4:H11)-G16</f>
        <v>392456.96875</v>
      </c>
      <c r="D25" s="9"/>
      <c r="E25" s="9"/>
      <c r="F25" s="9"/>
      <c r="G25" s="9"/>
    </row>
    <row r="26" spans="1:8" x14ac:dyDescent="0.25">
      <c r="B26" s="13" t="s">
        <v>200</v>
      </c>
      <c r="C26" s="9">
        <f>SUMSQ(B12,D12,F12,H12)/8-G16</f>
        <v>2734.09375</v>
      </c>
      <c r="D26" s="9"/>
      <c r="E26" s="9"/>
      <c r="F26" s="9"/>
      <c r="G26" s="9"/>
    </row>
    <row r="27" spans="1:8" x14ac:dyDescent="0.25">
      <c r="B27" s="13" t="s">
        <v>160</v>
      </c>
      <c r="C27" s="9">
        <f>C25-C26-SUM(G17:G23)</f>
        <v>17379.15625</v>
      </c>
      <c r="D27" s="9"/>
      <c r="E27" s="9"/>
      <c r="F27" s="9"/>
      <c r="G27" s="9"/>
    </row>
    <row r="28" spans="1:8" ht="15.75" thickBot="1" x14ac:dyDescent="0.3"/>
    <row r="29" spans="1:8" ht="15.75" thickBot="1" x14ac:dyDescent="0.3">
      <c r="A29" s="89" t="s">
        <v>64</v>
      </c>
      <c r="B29" s="108"/>
      <c r="C29" s="108"/>
      <c r="D29" s="108"/>
      <c r="E29" s="108"/>
      <c r="F29" s="108"/>
      <c r="G29" s="108"/>
      <c r="H29" s="87"/>
    </row>
    <row r="30" spans="1:8" x14ac:dyDescent="0.25">
      <c r="A30" s="102" t="s">
        <v>65</v>
      </c>
      <c r="B30" s="101" t="s">
        <v>66</v>
      </c>
      <c r="C30" s="101" t="s">
        <v>85</v>
      </c>
      <c r="D30" s="101" t="s">
        <v>86</v>
      </c>
      <c r="E30" s="101" t="s">
        <v>69</v>
      </c>
      <c r="F30" s="101" t="s">
        <v>203</v>
      </c>
      <c r="G30" s="98" t="s">
        <v>207</v>
      </c>
      <c r="H30" s="111" t="s">
        <v>210</v>
      </c>
    </row>
    <row r="31" spans="1:8" ht="15.75" thickBot="1" x14ac:dyDescent="0.3">
      <c r="A31" s="103"/>
      <c r="B31" s="104"/>
      <c r="C31" s="104"/>
      <c r="D31" s="104"/>
      <c r="E31" s="104"/>
      <c r="F31" s="117"/>
      <c r="G31" s="99"/>
      <c r="H31" s="112"/>
    </row>
    <row r="32" spans="1:8" x14ac:dyDescent="0.25">
      <c r="A32" s="58" t="s">
        <v>204</v>
      </c>
      <c r="B32" s="59"/>
      <c r="C32" s="59"/>
      <c r="D32" s="59"/>
      <c r="E32" s="59"/>
      <c r="F32" s="80"/>
      <c r="G32" s="57"/>
      <c r="H32" s="49"/>
    </row>
    <row r="33" spans="1:8" x14ac:dyDescent="0.25">
      <c r="A33" s="42" t="s">
        <v>178</v>
      </c>
      <c r="B33" s="9">
        <v>1</v>
      </c>
      <c r="C33" s="9">
        <v>227981.28125</v>
      </c>
      <c r="D33" s="9">
        <f>C33/B33</f>
        <v>227981.28125</v>
      </c>
      <c r="E33" s="9">
        <f t="shared" ref="E33:E43" si="10">D33/$D$45</f>
        <v>275.47982407086073</v>
      </c>
      <c r="F33" s="9"/>
      <c r="G33" s="18">
        <f>FINV(0.05,B33,$B$45)</f>
        <v>4.3247937431830454</v>
      </c>
      <c r="H33" s="49" t="s">
        <v>208</v>
      </c>
    </row>
    <row r="34" spans="1:8" x14ac:dyDescent="0.25">
      <c r="A34" s="42" t="s">
        <v>182</v>
      </c>
      <c r="B34" s="9">
        <v>1</v>
      </c>
      <c r="C34" s="9">
        <v>123380.28125</v>
      </c>
      <c r="D34" s="9">
        <f t="shared" ref="D34:D39" si="11">C34/B34</f>
        <v>123380.28125</v>
      </c>
      <c r="E34" s="9">
        <f t="shared" si="10"/>
        <v>149.08582838997145</v>
      </c>
      <c r="F34" s="9"/>
      <c r="G34" s="18">
        <f t="shared" ref="G34:G39" si="12">FINV(0.05,B34,$B$45)</f>
        <v>4.3247937431830454</v>
      </c>
      <c r="H34" s="49" t="s">
        <v>208</v>
      </c>
    </row>
    <row r="35" spans="1:8" x14ac:dyDescent="0.25">
      <c r="A35" s="42" t="s">
        <v>180</v>
      </c>
      <c r="B35" s="9">
        <v>1</v>
      </c>
      <c r="C35" s="9">
        <v>4680.28125</v>
      </c>
      <c r="D35" s="9">
        <f>C35/B35</f>
        <v>4680.28125</v>
      </c>
      <c r="E35" s="9">
        <f t="shared" si="10"/>
        <v>5.6553899876468403</v>
      </c>
      <c r="F35" s="9"/>
      <c r="G35" s="18">
        <f t="shared" si="12"/>
        <v>4.3247937431830454</v>
      </c>
      <c r="H35" s="49" t="s">
        <v>208</v>
      </c>
    </row>
    <row r="36" spans="1:8" x14ac:dyDescent="0.25">
      <c r="A36" s="116" t="s">
        <v>205</v>
      </c>
      <c r="B36" s="84"/>
      <c r="C36" s="9"/>
      <c r="D36" s="9"/>
      <c r="E36" s="9"/>
      <c r="F36" s="9"/>
      <c r="G36" s="18"/>
      <c r="H36" s="49"/>
    </row>
    <row r="37" spans="1:8" x14ac:dyDescent="0.25">
      <c r="A37" s="42" t="s">
        <v>189</v>
      </c>
      <c r="B37" s="9">
        <v>1</v>
      </c>
      <c r="C37" s="9">
        <v>10188.78125</v>
      </c>
      <c r="D37" s="9">
        <f t="shared" si="11"/>
        <v>10188.78125</v>
      </c>
      <c r="E37" s="9">
        <f t="shared" si="10"/>
        <v>12.311553171633404</v>
      </c>
      <c r="F37" s="9"/>
      <c r="G37" s="18">
        <f t="shared" si="12"/>
        <v>4.3247937431830454</v>
      </c>
      <c r="H37" s="49" t="s">
        <v>208</v>
      </c>
    </row>
    <row r="38" spans="1:8" x14ac:dyDescent="0.25">
      <c r="A38" s="42" t="s">
        <v>179</v>
      </c>
      <c r="B38" s="9">
        <v>1</v>
      </c>
      <c r="C38" s="9">
        <v>215.28125</v>
      </c>
      <c r="D38" s="9">
        <f t="shared" si="11"/>
        <v>215.28125</v>
      </c>
      <c r="E38" s="9">
        <f t="shared" si="10"/>
        <v>0.26013381691070303</v>
      </c>
      <c r="F38" s="9">
        <f>1/E38</f>
        <v>3.8441753243611276</v>
      </c>
      <c r="G38" s="18">
        <f>FINV(0.05,$B$45,B38)</f>
        <v>248.30937103362049</v>
      </c>
      <c r="H38" s="49" t="s">
        <v>209</v>
      </c>
    </row>
    <row r="39" spans="1:8" x14ac:dyDescent="0.25">
      <c r="A39" s="42" t="s">
        <v>177</v>
      </c>
      <c r="B39" s="9">
        <v>1</v>
      </c>
      <c r="C39" s="9">
        <v>5591.53125</v>
      </c>
      <c r="D39" s="9">
        <f t="shared" si="11"/>
        <v>5591.53125</v>
      </c>
      <c r="E39" s="9">
        <f t="shared" si="10"/>
        <v>6.7564935006554192</v>
      </c>
      <c r="F39" s="9"/>
      <c r="G39" s="18">
        <f t="shared" si="12"/>
        <v>4.3247937431830454</v>
      </c>
      <c r="H39" s="49" t="s">
        <v>208</v>
      </c>
    </row>
    <row r="40" spans="1:8" x14ac:dyDescent="0.25">
      <c r="A40" s="116" t="s">
        <v>206</v>
      </c>
      <c r="B40" s="84"/>
      <c r="C40" s="9"/>
      <c r="D40" s="9"/>
      <c r="E40" s="9"/>
      <c r="F40" s="9"/>
      <c r="G40" s="18"/>
      <c r="H40" s="49"/>
    </row>
    <row r="41" spans="1:8" ht="15" customHeight="1" x14ac:dyDescent="0.25">
      <c r="A41" s="42" t="s">
        <v>190</v>
      </c>
      <c r="B41" s="9">
        <v>1</v>
      </c>
      <c r="C41" s="9">
        <v>306.28125</v>
      </c>
      <c r="D41" s="9">
        <f>C41/B41</f>
        <v>306.28125</v>
      </c>
      <c r="E41" s="9">
        <f t="shared" si="10"/>
        <v>0.37009312520566123</v>
      </c>
      <c r="F41" s="9">
        <f>1/E41</f>
        <v>2.7020226313155606</v>
      </c>
      <c r="G41" s="18">
        <f>FINV(0.05,$B$45,B41)</f>
        <v>248.30937103362049</v>
      </c>
      <c r="H41" s="49" t="s">
        <v>209</v>
      </c>
    </row>
    <row r="42" spans="1:8" ht="15" customHeight="1" x14ac:dyDescent="0.25">
      <c r="A42" s="42"/>
      <c r="B42" s="9"/>
      <c r="C42" s="9"/>
      <c r="D42" s="9"/>
      <c r="E42" s="9"/>
      <c r="F42" s="9"/>
      <c r="G42" s="18"/>
      <c r="H42" s="49"/>
    </row>
    <row r="43" spans="1:8" x14ac:dyDescent="0.25">
      <c r="A43" s="42" t="s">
        <v>70</v>
      </c>
      <c r="B43" s="9">
        <v>7</v>
      </c>
      <c r="C43" s="9">
        <f>SUM(C33:C41)</f>
        <v>372343.71875</v>
      </c>
      <c r="D43" s="9">
        <f>C43/B43</f>
        <v>53191.959821428572</v>
      </c>
      <c r="E43" s="9">
        <f t="shared" si="10"/>
        <v>64.274188008983458</v>
      </c>
      <c r="F43" s="9"/>
      <c r="G43" s="18">
        <f>FINV(0.05,B43,B45)</f>
        <v>2.487577703722041</v>
      </c>
      <c r="H43" s="49" t="s">
        <v>208</v>
      </c>
    </row>
    <row r="44" spans="1:8" x14ac:dyDescent="0.25">
      <c r="A44" s="42" t="s">
        <v>145</v>
      </c>
      <c r="B44" s="9">
        <v>3</v>
      </c>
      <c r="C44" s="9">
        <f>C26</f>
        <v>2734.09375</v>
      </c>
      <c r="D44" s="9">
        <f>C44/B44</f>
        <v>911.36458333333337</v>
      </c>
      <c r="E44" s="9">
        <f>D44/$D$45</f>
        <v>1.1012419690973203</v>
      </c>
      <c r="F44" s="9"/>
      <c r="G44" s="18">
        <f>FINV(0.05,B44,B45)</f>
        <v>3.0724669863968779</v>
      </c>
      <c r="H44" s="49" t="s">
        <v>209</v>
      </c>
    </row>
    <row r="45" spans="1:8" ht="15.75" thickBot="1" x14ac:dyDescent="0.3">
      <c r="A45" s="42" t="s">
        <v>71</v>
      </c>
      <c r="B45" s="9">
        <v>21</v>
      </c>
      <c r="C45" s="9">
        <f>C27</f>
        <v>17379.15625</v>
      </c>
      <c r="D45" s="9">
        <f>C45/B45</f>
        <v>827.57886904761904</v>
      </c>
      <c r="E45" s="9"/>
      <c r="F45" s="9"/>
      <c r="G45" s="18"/>
      <c r="H45" s="49"/>
    </row>
    <row r="46" spans="1:8" ht="15.75" thickBot="1" x14ac:dyDescent="0.3">
      <c r="A46" s="47" t="s">
        <v>72</v>
      </c>
      <c r="B46" s="48">
        <v>31</v>
      </c>
      <c r="C46" s="48">
        <f>C25</f>
        <v>392456.96875</v>
      </c>
      <c r="D46" s="48"/>
      <c r="E46" s="48"/>
      <c r="F46" s="48"/>
      <c r="G46" s="16"/>
      <c r="H46" s="50"/>
    </row>
  </sheetData>
  <mergeCells count="17">
    <mergeCell ref="A1:E1"/>
    <mergeCell ref="B3:C3"/>
    <mergeCell ref="D3:E3"/>
    <mergeCell ref="F3:G3"/>
    <mergeCell ref="H3:I3"/>
    <mergeCell ref="A36:B36"/>
    <mergeCell ref="A40:B40"/>
    <mergeCell ref="H30:H31"/>
    <mergeCell ref="A29:H29"/>
    <mergeCell ref="A30:A31"/>
    <mergeCell ref="B30:B31"/>
    <mergeCell ref="C30:C31"/>
    <mergeCell ref="D30:D31"/>
    <mergeCell ref="E30:E31"/>
    <mergeCell ref="G30:G31"/>
    <mergeCell ref="F30:F31"/>
    <mergeCell ref="B14:G14"/>
  </mergeCells>
  <pageMargins left="0.7" right="0.7" top="0.75" bottom="0.75" header="0.3" footer="0.3"/>
  <ignoredErrors>
    <ignoredError sqref="G3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M14" sqref="M14"/>
    </sheetView>
  </sheetViews>
  <sheetFormatPr defaultRowHeight="15" x14ac:dyDescent="0.25"/>
  <cols>
    <col min="1" max="1" width="10.7109375" style="1" customWidth="1"/>
    <col min="2" max="4" width="9.140625" style="1"/>
    <col min="5" max="6" width="9.140625" style="1" customWidth="1"/>
    <col min="7" max="16384" width="9.140625" style="1"/>
  </cols>
  <sheetData>
    <row r="1" spans="1:7" ht="15.75" thickBot="1" x14ac:dyDescent="0.3">
      <c r="A1" s="85" t="s">
        <v>246</v>
      </c>
      <c r="B1" s="86"/>
      <c r="C1" s="86"/>
      <c r="D1" s="86"/>
      <c r="E1" s="87"/>
    </row>
    <row r="2" spans="1:7" ht="15.75" thickBot="1" x14ac:dyDescent="0.3"/>
    <row r="3" spans="1:7" ht="15.75" thickBot="1" x14ac:dyDescent="0.3">
      <c r="A3" s="111" t="s">
        <v>211</v>
      </c>
      <c r="B3" s="89" t="s">
        <v>212</v>
      </c>
      <c r="C3" s="90"/>
      <c r="D3" s="90"/>
      <c r="E3" s="90"/>
      <c r="F3" s="91"/>
    </row>
    <row r="4" spans="1:7" ht="18.75" thickBot="1" x14ac:dyDescent="0.3">
      <c r="A4" s="112"/>
      <c r="B4" s="56">
        <v>1</v>
      </c>
      <c r="C4" s="56">
        <v>2</v>
      </c>
      <c r="D4" s="56">
        <v>3</v>
      </c>
      <c r="E4" s="56">
        <v>4</v>
      </c>
      <c r="F4" s="56">
        <v>5</v>
      </c>
      <c r="G4" s="50" t="s">
        <v>215</v>
      </c>
    </row>
    <row r="5" spans="1:7" x14ac:dyDescent="0.25">
      <c r="A5" s="46" t="s">
        <v>103</v>
      </c>
      <c r="B5" s="9" t="s">
        <v>213</v>
      </c>
      <c r="C5" s="9">
        <v>51</v>
      </c>
      <c r="D5" s="9">
        <v>44</v>
      </c>
      <c r="E5" s="9">
        <v>75</v>
      </c>
      <c r="F5" s="9">
        <v>63</v>
      </c>
      <c r="G5" s="49">
        <f>SUM(C5:F5)</f>
        <v>233</v>
      </c>
    </row>
    <row r="6" spans="1:7" x14ac:dyDescent="0.25">
      <c r="A6" s="46" t="s">
        <v>102</v>
      </c>
      <c r="B6" s="9">
        <v>62</v>
      </c>
      <c r="C6" s="9">
        <v>58</v>
      </c>
      <c r="D6" s="9">
        <v>57</v>
      </c>
      <c r="E6" s="9">
        <v>96</v>
      </c>
      <c r="F6" s="9">
        <v>75</v>
      </c>
      <c r="G6" s="49">
        <f>SUM(B6:F6)</f>
        <v>348</v>
      </c>
    </row>
    <row r="7" spans="1:7" x14ac:dyDescent="0.25">
      <c r="A7" s="46" t="s">
        <v>105</v>
      </c>
      <c r="B7" s="9">
        <v>57</v>
      </c>
      <c r="C7" s="9">
        <v>54</v>
      </c>
      <c r="D7" s="9">
        <v>55</v>
      </c>
      <c r="E7" s="9">
        <v>88</v>
      </c>
      <c r="F7" s="9">
        <v>78</v>
      </c>
      <c r="G7" s="49">
        <f t="shared" ref="G7:G8" si="0">SUM(B7:F7)</f>
        <v>332</v>
      </c>
    </row>
    <row r="8" spans="1:7" ht="15.75" thickBot="1" x14ac:dyDescent="0.3">
      <c r="A8" s="46" t="s">
        <v>104</v>
      </c>
      <c r="B8" s="9">
        <v>39</v>
      </c>
      <c r="C8" s="9">
        <v>48</v>
      </c>
      <c r="D8" s="9">
        <v>44</v>
      </c>
      <c r="E8" s="9">
        <v>70</v>
      </c>
      <c r="F8" s="9">
        <v>66</v>
      </c>
      <c r="G8" s="49">
        <f t="shared" si="0"/>
        <v>267</v>
      </c>
    </row>
    <row r="9" spans="1:7" ht="18.75" thickBot="1" x14ac:dyDescent="0.3">
      <c r="A9" s="50" t="s">
        <v>214</v>
      </c>
      <c r="B9" s="48">
        <f>SUM(B6:B8)</f>
        <v>158</v>
      </c>
      <c r="C9" s="48">
        <f>SUM(C5:C8)</f>
        <v>211</v>
      </c>
      <c r="D9" s="48">
        <f t="shared" ref="D9:F9" si="1">SUM(D5:D8)</f>
        <v>200</v>
      </c>
      <c r="E9" s="48">
        <f t="shared" si="1"/>
        <v>329</v>
      </c>
      <c r="F9" s="48">
        <f t="shared" si="1"/>
        <v>282</v>
      </c>
      <c r="G9" s="50">
        <f>SUM(G5:G8)</f>
        <v>1180</v>
      </c>
    </row>
    <row r="11" spans="1:7" x14ac:dyDescent="0.25">
      <c r="A11" s="2" t="s">
        <v>149</v>
      </c>
      <c r="B11" s="1">
        <v>4</v>
      </c>
      <c r="D11" s="2" t="s">
        <v>155</v>
      </c>
      <c r="E11" s="1">
        <f>(G9+B16)^2/20</f>
        <v>75051.668055555565</v>
      </c>
    </row>
    <row r="12" spans="1:7" x14ac:dyDescent="0.25">
      <c r="A12" s="2" t="s">
        <v>151</v>
      </c>
      <c r="B12" s="1">
        <v>5</v>
      </c>
      <c r="D12" s="2" t="s">
        <v>157</v>
      </c>
      <c r="E12" s="1">
        <f>(SUMSQ(C5:F8,B6:B8)+B16^2)-E11</f>
        <v>4452.3597222222161</v>
      </c>
    </row>
    <row r="13" spans="1:7" x14ac:dyDescent="0.25">
      <c r="A13" s="2" t="s">
        <v>218</v>
      </c>
      <c r="B13" s="1">
        <f>G9</f>
        <v>1180</v>
      </c>
      <c r="D13" s="2" t="s">
        <v>222</v>
      </c>
      <c r="E13" s="1">
        <f>(SUMSQ(G6:G8)+(B14+B16)^2)/B12-E11</f>
        <v>947.07083333331684</v>
      </c>
    </row>
    <row r="14" spans="1:7" ht="18" x14ac:dyDescent="0.25">
      <c r="A14" s="2" t="s">
        <v>219</v>
      </c>
      <c r="B14" s="1">
        <f>G5</f>
        <v>233</v>
      </c>
      <c r="D14" s="2" t="s">
        <v>223</v>
      </c>
      <c r="E14" s="1">
        <f>(B11*B14+B15-B13)^2/(4*3*4^2)</f>
        <v>42.1875</v>
      </c>
    </row>
    <row r="15" spans="1:7" ht="18" x14ac:dyDescent="0.25">
      <c r="A15" s="2" t="s">
        <v>220</v>
      </c>
      <c r="B15" s="1">
        <f>B9</f>
        <v>158</v>
      </c>
      <c r="D15" s="2" t="s">
        <v>159</v>
      </c>
      <c r="E15" s="1">
        <f>E13-E14</f>
        <v>904.88333333331684</v>
      </c>
    </row>
    <row r="16" spans="1:7" x14ac:dyDescent="0.25">
      <c r="A16" s="2" t="s">
        <v>221</v>
      </c>
      <c r="B16" s="1">
        <f>(B11*B14+B12*B15-B13)/(4*3)</f>
        <v>45.166666666666664</v>
      </c>
      <c r="D16" s="2" t="s">
        <v>200</v>
      </c>
      <c r="E16" s="1">
        <f>(SUMSQ(C9:F9)+(B15+B16)^2)/B11-E11</f>
        <v>3339.0055555555446</v>
      </c>
    </row>
    <row r="17" spans="1:6" x14ac:dyDescent="0.25">
      <c r="D17" s="2" t="s">
        <v>160</v>
      </c>
      <c r="E17" s="1">
        <f>E12-E15-E16</f>
        <v>208.47083333335468</v>
      </c>
    </row>
    <row r="18" spans="1:6" ht="15.75" thickBot="1" x14ac:dyDescent="0.3"/>
    <row r="19" spans="1:6" ht="15.75" thickBot="1" x14ac:dyDescent="0.3">
      <c r="A19" s="89" t="s">
        <v>64</v>
      </c>
      <c r="B19" s="90"/>
      <c r="C19" s="90"/>
      <c r="D19" s="90"/>
      <c r="E19" s="90"/>
      <c r="F19" s="91"/>
    </row>
    <row r="20" spans="1:6" x14ac:dyDescent="0.25">
      <c r="A20" s="102" t="s">
        <v>65</v>
      </c>
      <c r="B20" s="101" t="s">
        <v>66</v>
      </c>
      <c r="C20" s="101" t="s">
        <v>85</v>
      </c>
      <c r="D20" s="101" t="s">
        <v>86</v>
      </c>
      <c r="E20" s="101" t="s">
        <v>69</v>
      </c>
      <c r="F20" s="98" t="s">
        <v>73</v>
      </c>
    </row>
    <row r="21" spans="1:6" ht="15.75" thickBot="1" x14ac:dyDescent="0.3">
      <c r="A21" s="103"/>
      <c r="B21" s="104"/>
      <c r="C21" s="104"/>
      <c r="D21" s="104"/>
      <c r="E21" s="104"/>
      <c r="F21" s="99"/>
    </row>
    <row r="22" spans="1:6" x14ac:dyDescent="0.25">
      <c r="A22" s="42" t="s">
        <v>87</v>
      </c>
      <c r="B22" s="9">
        <f>B11-1</f>
        <v>3</v>
      </c>
      <c r="C22" s="9">
        <f>E15</f>
        <v>904.88333333331684</v>
      </c>
      <c r="D22" s="9">
        <f>C22/B22</f>
        <v>301.62777777777228</v>
      </c>
      <c r="E22" s="9">
        <f>D22/D24</f>
        <v>15.915442474631488</v>
      </c>
      <c r="F22" s="18">
        <f>FDIST(E22,B22,B24)</f>
        <v>2.5782849823122411E-4</v>
      </c>
    </row>
    <row r="23" spans="1:6" x14ac:dyDescent="0.25">
      <c r="A23" s="42" t="s">
        <v>88</v>
      </c>
      <c r="B23" s="9">
        <f>B12-1</f>
        <v>4</v>
      </c>
      <c r="C23" s="9">
        <f>E16</f>
        <v>3339.0055555555446</v>
      </c>
      <c r="D23" s="9">
        <f>C23/B23</f>
        <v>834.75138888888614</v>
      </c>
      <c r="E23" s="9">
        <f>D23/D24</f>
        <v>44.045803103280512</v>
      </c>
      <c r="F23" s="18">
        <f>FDIST(E23,B23,B24)</f>
        <v>1.049432432799741E-6</v>
      </c>
    </row>
    <row r="24" spans="1:6" ht="15.75" thickBot="1" x14ac:dyDescent="0.3">
      <c r="A24" s="42" t="s">
        <v>71</v>
      </c>
      <c r="B24" s="9">
        <f>B25-B23-B22</f>
        <v>11</v>
      </c>
      <c r="C24" s="9">
        <f>E17</f>
        <v>208.47083333335468</v>
      </c>
      <c r="D24" s="9">
        <f>C24/B24</f>
        <v>18.95189393939588</v>
      </c>
      <c r="E24" s="9"/>
      <c r="F24" s="18"/>
    </row>
    <row r="25" spans="1:6" ht="15.75" thickBot="1" x14ac:dyDescent="0.3">
      <c r="A25" s="47" t="s">
        <v>72</v>
      </c>
      <c r="B25" s="48">
        <f>18</f>
        <v>18</v>
      </c>
      <c r="C25" s="48">
        <f>E12</f>
        <v>4452.3597222222161</v>
      </c>
      <c r="D25" s="48"/>
      <c r="E25" s="48"/>
      <c r="F25" s="16"/>
    </row>
    <row r="27" spans="1:6" x14ac:dyDescent="0.25">
      <c r="A27" s="84" t="s">
        <v>216</v>
      </c>
      <c r="B27" s="84"/>
      <c r="C27" s="84"/>
      <c r="D27" s="84"/>
      <c r="E27" s="84"/>
      <c r="F27" s="84"/>
    </row>
    <row r="28" spans="1:6" ht="17.25" customHeight="1" x14ac:dyDescent="0.25">
      <c r="A28" s="84"/>
      <c r="B28" s="84"/>
      <c r="C28" s="84"/>
      <c r="D28" s="84"/>
      <c r="E28" s="84"/>
      <c r="F28" s="84"/>
    </row>
    <row r="30" spans="1:6" x14ac:dyDescent="0.25">
      <c r="A30" s="84" t="s">
        <v>217</v>
      </c>
      <c r="B30" s="84"/>
      <c r="C30" s="84"/>
      <c r="D30" s="84"/>
      <c r="E30" s="84"/>
      <c r="F30" s="84"/>
    </row>
    <row r="32" spans="1:6" x14ac:dyDescent="0.25">
      <c r="A32" s="1" t="s">
        <v>224</v>
      </c>
      <c r="B32" s="1">
        <f>SQRT(2*D24/B12)</f>
        <v>2.7533175581030154</v>
      </c>
    </row>
    <row r="33" spans="1:10" ht="18" x14ac:dyDescent="0.25">
      <c r="A33" s="1" t="s">
        <v>226</v>
      </c>
      <c r="B33" s="1">
        <f>B32*TINV(0.05,B24)</f>
        <v>6.0600110864044838</v>
      </c>
    </row>
    <row r="35" spans="1:10" x14ac:dyDescent="0.25">
      <c r="A35" s="84" t="s">
        <v>225</v>
      </c>
      <c r="B35" s="84"/>
      <c r="C35" s="84"/>
      <c r="D35" s="84"/>
      <c r="E35" s="84"/>
      <c r="F35" s="84"/>
    </row>
    <row r="37" spans="1:10" x14ac:dyDescent="0.25">
      <c r="A37" s="1" t="s">
        <v>224</v>
      </c>
      <c r="B37" s="1">
        <f>SQRT(D24*(2/B12+B11/(5*4*3)))</f>
        <v>2.9739228590731939</v>
      </c>
    </row>
    <row r="38" spans="1:10" ht="18" x14ac:dyDescent="0.25">
      <c r="A38" s="1" t="s">
        <v>227</v>
      </c>
      <c r="B38" s="1">
        <f>B37*TINV(0.05,B24)</f>
        <v>6.5455600800773963</v>
      </c>
    </row>
    <row r="40" spans="1:10" ht="15.75" thickBot="1" x14ac:dyDescent="0.3">
      <c r="A40" s="84" t="s">
        <v>94</v>
      </c>
      <c r="B40" s="84"/>
      <c r="C40" s="84"/>
    </row>
    <row r="41" spans="1:10" ht="15.75" thickBot="1" x14ac:dyDescent="0.3">
      <c r="A41" s="45"/>
      <c r="B41" s="48" t="s">
        <v>103</v>
      </c>
      <c r="C41" s="48" t="s">
        <v>102</v>
      </c>
      <c r="D41" s="48" t="s">
        <v>105</v>
      </c>
      <c r="E41" s="16" t="s">
        <v>104</v>
      </c>
    </row>
    <row r="42" spans="1:10" x14ac:dyDescent="0.25">
      <c r="A42" s="46" t="s">
        <v>103</v>
      </c>
      <c r="B42" s="9">
        <v>0</v>
      </c>
      <c r="C42" s="9"/>
      <c r="D42" s="9"/>
      <c r="E42" s="18"/>
      <c r="G42" s="84" t="s">
        <v>228</v>
      </c>
      <c r="H42" s="88"/>
      <c r="I42" s="88"/>
      <c r="J42" s="2"/>
    </row>
    <row r="43" spans="1:10" x14ac:dyDescent="0.25">
      <c r="A43" s="46" t="s">
        <v>102</v>
      </c>
      <c r="B43" s="81">
        <f>ABS($G$5+$B$16-G6)/5</f>
        <v>13.966666666666663</v>
      </c>
      <c r="C43" s="9">
        <v>0</v>
      </c>
      <c r="D43" s="9"/>
      <c r="E43" s="18"/>
      <c r="F43" s="2"/>
      <c r="G43" s="88"/>
      <c r="H43" s="88"/>
      <c r="I43" s="88"/>
      <c r="J43" s="2"/>
    </row>
    <row r="44" spans="1:10" x14ac:dyDescent="0.25">
      <c r="A44" s="46" t="s">
        <v>105</v>
      </c>
      <c r="B44" s="81">
        <f t="shared" ref="B44:B45" si="2">ABS($G$5+$B$16-G7)/5</f>
        <v>10.766666666666662</v>
      </c>
      <c r="C44" s="9">
        <f>ABS($G$6-G7)/5</f>
        <v>3.2</v>
      </c>
      <c r="D44" s="9">
        <v>0</v>
      </c>
      <c r="E44" s="18"/>
      <c r="G44" s="88"/>
      <c r="H44" s="88"/>
      <c r="I44" s="88"/>
    </row>
    <row r="45" spans="1:10" ht="15.75" thickBot="1" x14ac:dyDescent="0.3">
      <c r="A45" s="27" t="s">
        <v>104</v>
      </c>
      <c r="B45" s="43">
        <f t="shared" si="2"/>
        <v>2.2333333333333369</v>
      </c>
      <c r="C45" s="82">
        <f>ABS($G$6-G8)/5</f>
        <v>16.2</v>
      </c>
      <c r="D45" s="82">
        <f>ABS(G7-G8)/6</f>
        <v>10.833333333333334</v>
      </c>
      <c r="E45" s="19">
        <v>0</v>
      </c>
      <c r="G45" s="88"/>
      <c r="H45" s="88"/>
      <c r="I45" s="88"/>
    </row>
  </sheetData>
  <mergeCells count="15">
    <mergeCell ref="A40:C40"/>
    <mergeCell ref="G42:I45"/>
    <mergeCell ref="F20:F21"/>
    <mergeCell ref="A27:F28"/>
    <mergeCell ref="A30:F30"/>
    <mergeCell ref="A35:F35"/>
    <mergeCell ref="A1:E1"/>
    <mergeCell ref="A3:A4"/>
    <mergeCell ref="B3:F3"/>
    <mergeCell ref="A19:F19"/>
    <mergeCell ref="A20:A21"/>
    <mergeCell ref="B20:B21"/>
    <mergeCell ref="C20:C21"/>
    <mergeCell ref="D20:D21"/>
    <mergeCell ref="E20:E21"/>
  </mergeCells>
  <pageMargins left="0.7" right="0.7" top="0.75" bottom="0.75" header="0.3" footer="0.3"/>
  <pageSetup orientation="portrait" verticalDpi="0" r:id="rId1"/>
  <ignoredErrors>
    <ignoredError sqref="C9:F9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M22" sqref="M22"/>
    </sheetView>
  </sheetViews>
  <sheetFormatPr defaultRowHeight="15" x14ac:dyDescent="0.25"/>
  <cols>
    <col min="1" max="1" width="10.140625" style="1" customWidth="1"/>
    <col min="2" max="16384" width="9.140625" style="1"/>
  </cols>
  <sheetData>
    <row r="1" spans="1:9" ht="15.75" thickBot="1" x14ac:dyDescent="0.3">
      <c r="A1" s="85" t="s">
        <v>247</v>
      </c>
      <c r="B1" s="86"/>
      <c r="C1" s="86"/>
      <c r="D1" s="86"/>
      <c r="E1" s="87"/>
    </row>
    <row r="2" spans="1:9" ht="15.75" thickBot="1" x14ac:dyDescent="0.3">
      <c r="A2" s="83"/>
      <c r="B2" s="83"/>
      <c r="C2" s="83"/>
      <c r="D2" s="83"/>
      <c r="E2" s="80"/>
    </row>
    <row r="3" spans="1:9" ht="15.75" thickBot="1" x14ac:dyDescent="0.3">
      <c r="A3" s="111" t="s">
        <v>229</v>
      </c>
      <c r="B3" s="90" t="s">
        <v>87</v>
      </c>
      <c r="C3" s="90"/>
      <c r="D3" s="90"/>
      <c r="E3" s="90"/>
      <c r="F3" s="90"/>
      <c r="G3" s="90"/>
      <c r="H3" s="90"/>
      <c r="I3" s="91"/>
    </row>
    <row r="4" spans="1:9" ht="15.75" thickBot="1" x14ac:dyDescent="0.3">
      <c r="A4" s="118"/>
      <c r="B4" s="56">
        <v>1</v>
      </c>
      <c r="C4" s="56" t="s">
        <v>180</v>
      </c>
      <c r="D4" s="56" t="s">
        <v>178</v>
      </c>
      <c r="E4" s="56" t="s">
        <v>179</v>
      </c>
      <c r="F4" s="56" t="s">
        <v>182</v>
      </c>
      <c r="G4" s="56" t="s">
        <v>177</v>
      </c>
      <c r="H4" s="56" t="s">
        <v>189</v>
      </c>
      <c r="I4" s="75" t="s">
        <v>190</v>
      </c>
    </row>
    <row r="5" spans="1:9" x14ac:dyDescent="0.25">
      <c r="A5" s="46">
        <v>1</v>
      </c>
      <c r="B5" s="9">
        <v>101</v>
      </c>
      <c r="C5" s="9">
        <v>106</v>
      </c>
      <c r="D5" s="9">
        <v>302</v>
      </c>
      <c r="E5" s="9">
        <v>303</v>
      </c>
      <c r="F5" s="9">
        <v>205</v>
      </c>
      <c r="G5" s="9">
        <v>209</v>
      </c>
      <c r="H5" s="9">
        <v>301</v>
      </c>
      <c r="I5" s="18">
        <v>405</v>
      </c>
    </row>
    <row r="6" spans="1:9" x14ac:dyDescent="0.25">
      <c r="A6" s="46">
        <v>2</v>
      </c>
      <c r="B6" s="9">
        <v>106</v>
      </c>
      <c r="C6" s="9">
        <v>89</v>
      </c>
      <c r="D6" s="9">
        <v>304</v>
      </c>
      <c r="E6" s="9">
        <v>308</v>
      </c>
      <c r="F6" s="9">
        <v>202</v>
      </c>
      <c r="G6" s="9">
        <v>306</v>
      </c>
      <c r="H6" s="9">
        <v>407</v>
      </c>
      <c r="I6" s="18">
        <v>409</v>
      </c>
    </row>
    <row r="7" spans="1:9" x14ac:dyDescent="0.25">
      <c r="A7" s="46">
        <v>3</v>
      </c>
      <c r="B7" s="9">
        <v>87</v>
      </c>
      <c r="C7" s="9">
        <v>128</v>
      </c>
      <c r="D7" s="9">
        <v>323</v>
      </c>
      <c r="E7" s="9">
        <v>324</v>
      </c>
      <c r="F7" s="9">
        <v>79</v>
      </c>
      <c r="G7" s="9">
        <v>304</v>
      </c>
      <c r="H7" s="9">
        <v>403</v>
      </c>
      <c r="I7" s="18">
        <v>407</v>
      </c>
    </row>
    <row r="8" spans="1:9" ht="15.75" thickBot="1" x14ac:dyDescent="0.3">
      <c r="A8" s="27">
        <v>4</v>
      </c>
      <c r="B8" s="43">
        <v>131</v>
      </c>
      <c r="C8" s="43">
        <v>103</v>
      </c>
      <c r="D8" s="43">
        <v>304</v>
      </c>
      <c r="E8" s="43">
        <v>301</v>
      </c>
      <c r="F8" s="43">
        <v>302</v>
      </c>
      <c r="G8" s="43">
        <v>202</v>
      </c>
      <c r="H8" s="43">
        <v>245</v>
      </c>
      <c r="I8" s="19">
        <v>407</v>
      </c>
    </row>
    <row r="9" spans="1:9" ht="15.75" thickBot="1" x14ac:dyDescent="0.3">
      <c r="A9" s="45" t="s">
        <v>72</v>
      </c>
      <c r="B9" s="48">
        <f>SUM(B5:B8)</f>
        <v>425</v>
      </c>
      <c r="C9" s="48">
        <f t="shared" ref="C9:I9" si="0">SUM(C5:C8)</f>
        <v>426</v>
      </c>
      <c r="D9" s="48">
        <f t="shared" si="0"/>
        <v>1233</v>
      </c>
      <c r="E9" s="48">
        <f t="shared" si="0"/>
        <v>1236</v>
      </c>
      <c r="F9" s="48">
        <f t="shared" si="0"/>
        <v>788</v>
      </c>
      <c r="G9" s="48">
        <f t="shared" si="0"/>
        <v>1021</v>
      </c>
      <c r="H9" s="48">
        <f t="shared" si="0"/>
        <v>1356</v>
      </c>
      <c r="I9" s="16">
        <f t="shared" si="0"/>
        <v>1628</v>
      </c>
    </row>
    <row r="10" spans="1:9" ht="15.75" thickBot="1" x14ac:dyDescent="0.3"/>
    <row r="11" spans="1:9" ht="15" customHeight="1" thickBot="1" x14ac:dyDescent="0.3">
      <c r="A11" s="89" t="s">
        <v>183</v>
      </c>
      <c r="B11" s="90"/>
      <c r="C11" s="90"/>
      <c r="D11" s="90"/>
      <c r="E11" s="90"/>
      <c r="F11" s="91"/>
      <c r="G11" s="2"/>
    </row>
    <row r="12" spans="1:9" ht="15.75" customHeight="1" thickBot="1" x14ac:dyDescent="0.3">
      <c r="A12" s="50" t="s">
        <v>184</v>
      </c>
      <c r="B12" s="16" t="s">
        <v>185</v>
      </c>
      <c r="C12" s="16" t="s">
        <v>186</v>
      </c>
      <c r="D12" s="16" t="s">
        <v>187</v>
      </c>
      <c r="E12" s="16" t="s">
        <v>188</v>
      </c>
      <c r="F12" s="16" t="s">
        <v>191</v>
      </c>
    </row>
    <row r="13" spans="1:9" x14ac:dyDescent="0.25">
      <c r="A13" s="49">
        <v>1</v>
      </c>
      <c r="B13" s="18">
        <f t="array" ref="B13:B20">TRANSPOSE(B9:I9)</f>
        <v>425</v>
      </c>
      <c r="C13" s="18">
        <f>B13+B14</f>
        <v>851</v>
      </c>
      <c r="D13" s="18">
        <f t="shared" ref="D13:E13" si="1">C13+C14</f>
        <v>3320</v>
      </c>
      <c r="E13" s="18">
        <f t="shared" si="1"/>
        <v>8113</v>
      </c>
      <c r="F13" s="18">
        <f>E13^2/(8*4)</f>
        <v>2056899.03125</v>
      </c>
      <c r="G13" s="24" t="s">
        <v>199</v>
      </c>
    </row>
    <row r="14" spans="1:9" x14ac:dyDescent="0.25">
      <c r="A14" s="49" t="s">
        <v>180</v>
      </c>
      <c r="B14" s="18">
        <v>426</v>
      </c>
      <c r="C14" s="18">
        <f>B15+B16</f>
        <v>2469</v>
      </c>
      <c r="D14" s="18">
        <f t="shared" ref="D14:E14" si="2">C15+C16</f>
        <v>4793</v>
      </c>
      <c r="E14" s="18">
        <f t="shared" si="2"/>
        <v>-509</v>
      </c>
      <c r="F14" s="18">
        <f t="shared" ref="F14:F19" si="3">E14^2/(8*4)</f>
        <v>8096.28125</v>
      </c>
      <c r="G14" s="24" t="s">
        <v>195</v>
      </c>
    </row>
    <row r="15" spans="1:9" x14ac:dyDescent="0.25">
      <c r="A15" s="49" t="s">
        <v>178</v>
      </c>
      <c r="B15" s="18">
        <v>1233</v>
      </c>
      <c r="C15" s="18">
        <f>B17+B18</f>
        <v>1809</v>
      </c>
      <c r="D15" s="18">
        <f t="shared" ref="D15:E15" si="4">C17+C18</f>
        <v>-4</v>
      </c>
      <c r="E15" s="18">
        <f t="shared" si="4"/>
        <v>-2793</v>
      </c>
      <c r="F15" s="18">
        <f t="shared" si="3"/>
        <v>243776.53125</v>
      </c>
      <c r="G15" s="24" t="s">
        <v>192</v>
      </c>
    </row>
    <row r="16" spans="1:9" x14ac:dyDescent="0.25">
      <c r="A16" s="49" t="s">
        <v>179</v>
      </c>
      <c r="B16" s="18">
        <v>1236</v>
      </c>
      <c r="C16" s="18">
        <f>B19+B20</f>
        <v>2984</v>
      </c>
      <c r="D16" s="18">
        <f t="shared" ref="D16:E16" si="5">C19+C20</f>
        <v>-505</v>
      </c>
      <c r="E16" s="18">
        <f t="shared" si="5"/>
        <v>41</v>
      </c>
      <c r="F16" s="18">
        <f t="shared" si="3"/>
        <v>52.53125</v>
      </c>
      <c r="G16" s="24" t="s">
        <v>196</v>
      </c>
    </row>
    <row r="17" spans="1:8" x14ac:dyDescent="0.25">
      <c r="A17" s="49" t="s">
        <v>182</v>
      </c>
      <c r="B17" s="18">
        <v>788</v>
      </c>
      <c r="C17" s="18">
        <f>-B14+B13</f>
        <v>-1</v>
      </c>
      <c r="D17" s="18">
        <f t="shared" ref="D17:E17" si="6">-C14+C13</f>
        <v>-1618</v>
      </c>
      <c r="E17" s="18">
        <f t="shared" si="6"/>
        <v>-1473</v>
      </c>
      <c r="F17" s="18">
        <f t="shared" si="3"/>
        <v>67804.03125</v>
      </c>
      <c r="G17" s="24" t="s">
        <v>193</v>
      </c>
    </row>
    <row r="18" spans="1:8" x14ac:dyDescent="0.25">
      <c r="A18" s="49" t="s">
        <v>177</v>
      </c>
      <c r="B18" s="18">
        <v>1021</v>
      </c>
      <c r="C18" s="18">
        <f>-B16+B15</f>
        <v>-3</v>
      </c>
      <c r="D18" s="18">
        <f t="shared" ref="D18:E18" si="7">-C16+C15</f>
        <v>-1175</v>
      </c>
      <c r="E18" s="18">
        <f t="shared" si="7"/>
        <v>501</v>
      </c>
      <c r="F18" s="18">
        <f t="shared" si="3"/>
        <v>7843.78125</v>
      </c>
      <c r="G18" s="24" t="s">
        <v>197</v>
      </c>
    </row>
    <row r="19" spans="1:8" x14ac:dyDescent="0.25">
      <c r="A19" s="49" t="s">
        <v>189</v>
      </c>
      <c r="B19" s="18">
        <v>1356</v>
      </c>
      <c r="C19" s="18">
        <f>-B18+B17</f>
        <v>-233</v>
      </c>
      <c r="D19" s="18">
        <f t="shared" ref="D19:E19" si="8">-C18+C17</f>
        <v>2</v>
      </c>
      <c r="E19" s="18">
        <f t="shared" si="8"/>
        <v>-443</v>
      </c>
      <c r="F19" s="18">
        <f t="shared" si="3"/>
        <v>6132.78125</v>
      </c>
      <c r="G19" s="24" t="s">
        <v>194</v>
      </c>
    </row>
    <row r="20" spans="1:8" ht="15.75" thickBot="1" x14ac:dyDescent="0.3">
      <c r="A20" s="52" t="s">
        <v>190</v>
      </c>
      <c r="B20" s="19">
        <v>1628</v>
      </c>
      <c r="C20" s="19">
        <f>-B20+B19</f>
        <v>-272</v>
      </c>
      <c r="D20" s="19">
        <f t="shared" ref="D20:E20" si="9">-C20+C19</f>
        <v>39</v>
      </c>
      <c r="E20" s="19">
        <f t="shared" si="9"/>
        <v>-37</v>
      </c>
      <c r="F20" s="19"/>
      <c r="G20" s="24"/>
    </row>
    <row r="21" spans="1:8" ht="18" x14ac:dyDescent="0.25">
      <c r="D21" s="2" t="s">
        <v>237</v>
      </c>
      <c r="E21" s="2" t="s">
        <v>238</v>
      </c>
    </row>
    <row r="22" spans="1:8" x14ac:dyDescent="0.25">
      <c r="A22" s="84" t="s">
        <v>232</v>
      </c>
      <c r="B22" s="84"/>
      <c r="C22" s="72" t="s">
        <v>233</v>
      </c>
      <c r="D22" s="1">
        <f>B5+G5+E5+H5</f>
        <v>914</v>
      </c>
      <c r="E22" s="1">
        <f>C5+F5+D5+I5</f>
        <v>1018</v>
      </c>
    </row>
    <row r="23" spans="1:8" x14ac:dyDescent="0.25">
      <c r="C23" s="2" t="s">
        <v>234</v>
      </c>
      <c r="D23" s="1">
        <f t="shared" ref="D23:D25" si="10">B6+G6+E6+H6</f>
        <v>1127</v>
      </c>
      <c r="E23" s="1">
        <f t="shared" ref="E23:E25" si="11">C6+F6+D6+I6</f>
        <v>1004</v>
      </c>
    </row>
    <row r="24" spans="1:8" x14ac:dyDescent="0.25">
      <c r="C24" s="2" t="s">
        <v>235</v>
      </c>
      <c r="D24" s="1">
        <f t="shared" si="10"/>
        <v>1118</v>
      </c>
      <c r="E24" s="1">
        <f t="shared" si="11"/>
        <v>937</v>
      </c>
    </row>
    <row r="25" spans="1:8" x14ac:dyDescent="0.25">
      <c r="C25" s="2" t="s">
        <v>236</v>
      </c>
      <c r="D25" s="1">
        <f t="shared" si="10"/>
        <v>879</v>
      </c>
      <c r="E25" s="1">
        <f t="shared" si="11"/>
        <v>1116</v>
      </c>
    </row>
    <row r="26" spans="1:8" x14ac:dyDescent="0.25">
      <c r="A26" s="84" t="s">
        <v>231</v>
      </c>
      <c r="B26" s="84"/>
      <c r="C26" s="84"/>
      <c r="D26" s="84"/>
      <c r="E26" s="84"/>
      <c r="F26" s="84"/>
      <c r="G26" s="84"/>
    </row>
    <row r="27" spans="1:8" x14ac:dyDescent="0.25">
      <c r="A27" s="2" t="s">
        <v>230</v>
      </c>
      <c r="B27" s="2" t="s">
        <v>157</v>
      </c>
      <c r="C27" s="1">
        <f>SUMSQ(B5:I8)-F13</f>
        <v>390131.96875</v>
      </c>
    </row>
    <row r="28" spans="1:8" x14ac:dyDescent="0.25">
      <c r="B28" s="2" t="s">
        <v>200</v>
      </c>
      <c r="C28" s="1">
        <f>(SUMSQ(D22:D25)+SUMSQ(E22:E25))/4-F13</f>
        <v>17064.71875</v>
      </c>
    </row>
    <row r="29" spans="1:8" x14ac:dyDescent="0.25">
      <c r="B29" s="2" t="s">
        <v>160</v>
      </c>
      <c r="C29" s="1">
        <f>C27-C28-SUM(F14:F19)</f>
        <v>39361.3125</v>
      </c>
    </row>
    <row r="30" spans="1:8" ht="15.75" thickBot="1" x14ac:dyDescent="0.3">
      <c r="B30" s="2"/>
    </row>
    <row r="31" spans="1:8" ht="15.75" thickBot="1" x14ac:dyDescent="0.3">
      <c r="A31" s="89" t="s">
        <v>64</v>
      </c>
      <c r="B31" s="108"/>
      <c r="C31" s="108"/>
      <c r="D31" s="108"/>
      <c r="E31" s="108"/>
      <c r="F31" s="108"/>
      <c r="G31" s="108"/>
      <c r="H31" s="87"/>
    </row>
    <row r="32" spans="1:8" x14ac:dyDescent="0.25">
      <c r="A32" s="102" t="s">
        <v>65</v>
      </c>
      <c r="B32" s="101" t="s">
        <v>66</v>
      </c>
      <c r="C32" s="101" t="s">
        <v>85</v>
      </c>
      <c r="D32" s="101" t="s">
        <v>86</v>
      </c>
      <c r="E32" s="101" t="s">
        <v>69</v>
      </c>
      <c r="F32" s="101" t="s">
        <v>203</v>
      </c>
      <c r="G32" s="98" t="s">
        <v>207</v>
      </c>
      <c r="H32" s="111" t="s">
        <v>210</v>
      </c>
    </row>
    <row r="33" spans="1:8" ht="15.75" thickBot="1" x14ac:dyDescent="0.3">
      <c r="A33" s="103"/>
      <c r="B33" s="104"/>
      <c r="C33" s="104"/>
      <c r="D33" s="104"/>
      <c r="E33" s="104"/>
      <c r="F33" s="117"/>
      <c r="G33" s="99"/>
      <c r="H33" s="112"/>
    </row>
    <row r="34" spans="1:8" x14ac:dyDescent="0.25">
      <c r="A34" s="73" t="s">
        <v>204</v>
      </c>
      <c r="B34" s="74"/>
      <c r="C34" s="74"/>
      <c r="D34" s="74"/>
      <c r="E34" s="74"/>
      <c r="F34" s="80"/>
      <c r="G34" s="57"/>
      <c r="H34" s="49"/>
    </row>
    <row r="35" spans="1:8" x14ac:dyDescent="0.25">
      <c r="A35" s="42" t="s">
        <v>180</v>
      </c>
      <c r="B35" s="9">
        <v>1</v>
      </c>
      <c r="C35" s="9">
        <f>F14</f>
        <v>8096.28125</v>
      </c>
      <c r="D35" s="9">
        <f>C35/B35</f>
        <v>8096.28125</v>
      </c>
      <c r="E35" s="9">
        <f>D35/$D$45</f>
        <v>3.7024441829778922</v>
      </c>
      <c r="F35" s="9"/>
      <c r="G35" s="18">
        <f>FINV(0.05,B35,$B$45)</f>
        <v>4.4138734191705664</v>
      </c>
      <c r="H35" s="49" t="s">
        <v>209</v>
      </c>
    </row>
    <row r="36" spans="1:8" x14ac:dyDescent="0.25">
      <c r="A36" s="42" t="s">
        <v>178</v>
      </c>
      <c r="B36" s="9">
        <v>1</v>
      </c>
      <c r="C36" s="9">
        <f>F15</f>
        <v>243776.53125</v>
      </c>
      <c r="D36" s="9">
        <f t="shared" ref="D36:D41" si="12">C36/B36</f>
        <v>243776.53125</v>
      </c>
      <c r="E36" s="9">
        <f>D36/$D$45</f>
        <v>111.4794523810658</v>
      </c>
      <c r="F36" s="9"/>
      <c r="G36" s="18">
        <f>FINV(0.05,B36,$B$45)</f>
        <v>4.4138734191705664</v>
      </c>
      <c r="H36" s="49" t="s">
        <v>208</v>
      </c>
    </row>
    <row r="37" spans="1:8" x14ac:dyDescent="0.25">
      <c r="A37" s="42" t="s">
        <v>182</v>
      </c>
      <c r="B37" s="9">
        <v>1</v>
      </c>
      <c r="C37" s="9">
        <f>F17</f>
        <v>67804.03125</v>
      </c>
      <c r="D37" s="9">
        <f>C37/B37</f>
        <v>67804.03125</v>
      </c>
      <c r="E37" s="9">
        <f>D37/$D$45</f>
        <v>31.006907162966172</v>
      </c>
      <c r="F37" s="9"/>
      <c r="G37" s="18">
        <f>FINV(0.05,B37,$B$45)</f>
        <v>4.4138734191705664</v>
      </c>
      <c r="H37" s="49" t="s">
        <v>208</v>
      </c>
    </row>
    <row r="38" spans="1:8" x14ac:dyDescent="0.25">
      <c r="A38" s="116" t="s">
        <v>205</v>
      </c>
      <c r="B38" s="84"/>
      <c r="C38" s="9"/>
      <c r="D38" s="9"/>
      <c r="E38" s="9"/>
      <c r="F38" s="9"/>
      <c r="G38" s="18"/>
      <c r="H38" s="49"/>
    </row>
    <row r="39" spans="1:8" x14ac:dyDescent="0.25">
      <c r="A39" s="42" t="s">
        <v>179</v>
      </c>
      <c r="B39" s="9">
        <v>1</v>
      </c>
      <c r="C39" s="9">
        <f>F16</f>
        <v>52.53125</v>
      </c>
      <c r="D39" s="9">
        <f t="shared" si="12"/>
        <v>52.53125</v>
      </c>
      <c r="E39" s="9">
        <f>D39/$D$45</f>
        <v>2.4022636440286384E-2</v>
      </c>
      <c r="F39" s="9">
        <f>1/E39</f>
        <v>41.627404322823722</v>
      </c>
      <c r="G39" s="18">
        <f>FINV(0.05,$B$45,B39)</f>
        <v>247.32324405808885</v>
      </c>
      <c r="H39" s="49" t="s">
        <v>209</v>
      </c>
    </row>
    <row r="40" spans="1:8" x14ac:dyDescent="0.25">
      <c r="A40" s="42" t="s">
        <v>177</v>
      </c>
      <c r="B40" s="9">
        <v>1</v>
      </c>
      <c r="C40" s="9">
        <f>F18</f>
        <v>7843.78125</v>
      </c>
      <c r="D40" s="9">
        <f t="shared" si="12"/>
        <v>7843.78125</v>
      </c>
      <c r="E40" s="9">
        <f>D40/$D$45</f>
        <v>3.5869754724261287</v>
      </c>
      <c r="F40" s="9"/>
      <c r="G40" s="18">
        <f>FINV(0.05,B40,$B$45)</f>
        <v>4.4138734191705664</v>
      </c>
      <c r="H40" s="49" t="s">
        <v>209</v>
      </c>
    </row>
    <row r="41" spans="1:8" x14ac:dyDescent="0.25">
      <c r="A41" s="42" t="s">
        <v>189</v>
      </c>
      <c r="B41" s="9">
        <v>1</v>
      </c>
      <c r="C41" s="9">
        <f>F19</f>
        <v>6132.78125</v>
      </c>
      <c r="D41" s="9">
        <f t="shared" si="12"/>
        <v>6132.78125</v>
      </c>
      <c r="E41" s="9">
        <f>D41/$D$45</f>
        <v>2.8045320516179433</v>
      </c>
      <c r="F41" s="9"/>
      <c r="G41" s="18">
        <f>FINV(0.05,B41,$B$45)</f>
        <v>4.4138734191705664</v>
      </c>
      <c r="H41" s="49" t="s">
        <v>209</v>
      </c>
    </row>
    <row r="42" spans="1:8" ht="15" customHeight="1" x14ac:dyDescent="0.25">
      <c r="A42" s="42"/>
      <c r="B42" s="9"/>
      <c r="C42" s="9"/>
      <c r="D42" s="9"/>
      <c r="E42" s="9"/>
      <c r="F42" s="9"/>
      <c r="G42" s="18"/>
      <c r="H42" s="49"/>
    </row>
    <row r="43" spans="1:8" x14ac:dyDescent="0.25">
      <c r="A43" s="54" t="s">
        <v>70</v>
      </c>
      <c r="B43" s="9">
        <v>6</v>
      </c>
      <c r="C43" s="9">
        <f>SUM(C39:C41,C35:C37)</f>
        <v>333705.9375</v>
      </c>
      <c r="D43" s="9">
        <f>C43/B43</f>
        <v>55617.65625</v>
      </c>
      <c r="E43" s="9">
        <f>D43/$D$45</f>
        <v>25.434055647915702</v>
      </c>
      <c r="F43" s="9"/>
      <c r="G43" s="18">
        <f>FINV(0.05,B43,$B$45)</f>
        <v>2.6613045229279009</v>
      </c>
      <c r="H43" s="49" t="s">
        <v>208</v>
      </c>
    </row>
    <row r="44" spans="1:8" x14ac:dyDescent="0.25">
      <c r="A44" s="54" t="s">
        <v>145</v>
      </c>
      <c r="B44" s="9">
        <v>7</v>
      </c>
      <c r="C44" s="9">
        <f>C28</f>
        <v>17064.71875</v>
      </c>
      <c r="D44" s="9">
        <f>C44/B44</f>
        <v>2437.8169642857142</v>
      </c>
      <c r="E44" s="9">
        <f>D44/$D$45</f>
        <v>1.1148181442664762</v>
      </c>
      <c r="F44" s="9"/>
      <c r="G44" s="18">
        <f>FINV(0.05,B44,$B$45)</f>
        <v>2.5767217292599147</v>
      </c>
      <c r="H44" s="49" t="s">
        <v>209</v>
      </c>
    </row>
    <row r="45" spans="1:8" ht="15.75" thickBot="1" x14ac:dyDescent="0.3">
      <c r="A45" s="54" t="s">
        <v>71</v>
      </c>
      <c r="B45" s="9">
        <v>18</v>
      </c>
      <c r="C45" s="9">
        <f>C29</f>
        <v>39361.3125</v>
      </c>
      <c r="D45" s="9">
        <f>C45/B45</f>
        <v>2186.7395833333335</v>
      </c>
      <c r="E45" s="9"/>
      <c r="F45" s="9"/>
      <c r="G45" s="18"/>
      <c r="H45" s="49"/>
    </row>
    <row r="46" spans="1:8" ht="15.75" thickBot="1" x14ac:dyDescent="0.3">
      <c r="A46" s="79" t="s">
        <v>72</v>
      </c>
      <c r="B46" s="48">
        <f>SUM(B43:B45)</f>
        <v>31</v>
      </c>
      <c r="C46" s="48">
        <f>C27</f>
        <v>390131.96875</v>
      </c>
      <c r="D46" s="48"/>
      <c r="E46" s="48"/>
      <c r="F46" s="48"/>
      <c r="G46" s="16"/>
      <c r="H46" s="50"/>
    </row>
  </sheetData>
  <mergeCells count="16">
    <mergeCell ref="A38:B38"/>
    <mergeCell ref="A31:H31"/>
    <mergeCell ref="A32:A33"/>
    <mergeCell ref="B32:B33"/>
    <mergeCell ref="C32:C33"/>
    <mergeCell ref="D32:D33"/>
    <mergeCell ref="E32:E33"/>
    <mergeCell ref="F32:F33"/>
    <mergeCell ref="G32:G33"/>
    <mergeCell ref="H32:H33"/>
    <mergeCell ref="A1:E1"/>
    <mergeCell ref="B3:I3"/>
    <mergeCell ref="A3:A4"/>
    <mergeCell ref="A11:F11"/>
    <mergeCell ref="A26:G26"/>
    <mergeCell ref="A22:B22"/>
  </mergeCells>
  <pageMargins left="0.7" right="0.7" top="0.75" bottom="0.75" header="0.3" footer="0.3"/>
  <pageSetup orientation="portrait" verticalDpi="0" r:id="rId1"/>
  <ignoredErrors>
    <ignoredError sqref="B9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18" sqref="K18"/>
    </sheetView>
  </sheetViews>
  <sheetFormatPr defaultRowHeight="15" x14ac:dyDescent="0.25"/>
  <cols>
    <col min="1" max="1" width="10.140625" style="1" bestFit="1" customWidth="1"/>
    <col min="2" max="16384" width="9.140625" style="1"/>
  </cols>
  <sheetData>
    <row r="1" spans="1:9" ht="15.75" thickBot="1" x14ac:dyDescent="0.3">
      <c r="A1" s="85" t="s">
        <v>248</v>
      </c>
      <c r="B1" s="86"/>
      <c r="C1" s="86"/>
      <c r="D1" s="86"/>
      <c r="E1" s="87"/>
    </row>
    <row r="2" spans="1:9" ht="15.75" thickBot="1" x14ac:dyDescent="0.3"/>
    <row r="3" spans="1:9" ht="15.75" thickBot="1" x14ac:dyDescent="0.3">
      <c r="A3" s="111" t="s">
        <v>229</v>
      </c>
      <c r="B3" s="90" t="s">
        <v>87</v>
      </c>
      <c r="C3" s="90"/>
      <c r="D3" s="90"/>
      <c r="E3" s="90"/>
      <c r="F3" s="90"/>
      <c r="G3" s="90"/>
      <c r="H3" s="90"/>
      <c r="I3" s="91"/>
    </row>
    <row r="4" spans="1:9" ht="15.75" thickBot="1" x14ac:dyDescent="0.3">
      <c r="A4" s="118"/>
      <c r="B4" s="56">
        <v>1</v>
      </c>
      <c r="C4" s="56" t="s">
        <v>180</v>
      </c>
      <c r="D4" s="56" t="s">
        <v>178</v>
      </c>
      <c r="E4" s="56" t="s">
        <v>179</v>
      </c>
      <c r="F4" s="56" t="s">
        <v>182</v>
      </c>
      <c r="G4" s="56" t="s">
        <v>177</v>
      </c>
      <c r="H4" s="56" t="s">
        <v>189</v>
      </c>
      <c r="I4" s="75" t="s">
        <v>190</v>
      </c>
    </row>
    <row r="5" spans="1:9" x14ac:dyDescent="0.25">
      <c r="A5" s="46">
        <v>1</v>
      </c>
      <c r="B5" s="9">
        <v>75</v>
      </c>
      <c r="C5" s="9">
        <v>90</v>
      </c>
      <c r="D5" s="9">
        <v>88</v>
      </c>
      <c r="E5" s="9">
        <v>101</v>
      </c>
      <c r="F5" s="9">
        <v>55</v>
      </c>
      <c r="G5" s="9">
        <v>75</v>
      </c>
      <c r="H5" s="9">
        <v>115</v>
      </c>
      <c r="I5" s="18">
        <v>111</v>
      </c>
    </row>
    <row r="6" spans="1:9" x14ac:dyDescent="0.25">
      <c r="A6" s="46">
        <v>2</v>
      </c>
      <c r="B6" s="9">
        <v>120</v>
      </c>
      <c r="C6" s="9">
        <v>80</v>
      </c>
      <c r="D6" s="9">
        <v>101</v>
      </c>
      <c r="E6" s="9">
        <v>115</v>
      </c>
      <c r="F6" s="9">
        <v>95</v>
      </c>
      <c r="G6" s="9">
        <v>80</v>
      </c>
      <c r="H6" s="9">
        <v>90</v>
      </c>
      <c r="I6" s="18">
        <v>95</v>
      </c>
    </row>
    <row r="7" spans="1:9" ht="15.75" thickBot="1" x14ac:dyDescent="0.3">
      <c r="A7" s="46">
        <v>3</v>
      </c>
      <c r="B7" s="9">
        <v>55</v>
      </c>
      <c r="C7" s="9">
        <v>57</v>
      </c>
      <c r="D7" s="9">
        <v>65</v>
      </c>
      <c r="E7" s="9">
        <v>92</v>
      </c>
      <c r="F7" s="9">
        <v>82</v>
      </c>
      <c r="G7" s="9">
        <v>100</v>
      </c>
      <c r="H7" s="9">
        <v>75</v>
      </c>
      <c r="I7" s="18">
        <v>76</v>
      </c>
    </row>
    <row r="8" spans="1:9" ht="15.75" thickBot="1" x14ac:dyDescent="0.3">
      <c r="A8" s="45" t="s">
        <v>72</v>
      </c>
      <c r="B8" s="48">
        <f t="shared" ref="B8:I8" si="0">SUM(B5:B7)</f>
        <v>250</v>
      </c>
      <c r="C8" s="48">
        <f t="shared" si="0"/>
        <v>227</v>
      </c>
      <c r="D8" s="48">
        <f t="shared" si="0"/>
        <v>254</v>
      </c>
      <c r="E8" s="48">
        <f t="shared" si="0"/>
        <v>308</v>
      </c>
      <c r="F8" s="48">
        <f t="shared" si="0"/>
        <v>232</v>
      </c>
      <c r="G8" s="48">
        <f t="shared" si="0"/>
        <v>255</v>
      </c>
      <c r="H8" s="48">
        <f t="shared" si="0"/>
        <v>280</v>
      </c>
      <c r="I8" s="16">
        <f t="shared" si="0"/>
        <v>282</v>
      </c>
    </row>
    <row r="9" spans="1:9" ht="15.75" thickBot="1" x14ac:dyDescent="0.3"/>
    <row r="10" spans="1:9" ht="15.75" thickBot="1" x14ac:dyDescent="0.3">
      <c r="A10" s="89" t="s">
        <v>183</v>
      </c>
      <c r="B10" s="90"/>
      <c r="C10" s="90"/>
      <c r="D10" s="90"/>
      <c r="E10" s="90"/>
      <c r="F10" s="91"/>
      <c r="G10" s="2"/>
    </row>
    <row r="11" spans="1:9" ht="15.75" thickBot="1" x14ac:dyDescent="0.3">
      <c r="A11" s="50" t="s">
        <v>184</v>
      </c>
      <c r="B11" s="16" t="s">
        <v>185</v>
      </c>
      <c r="C11" s="16" t="s">
        <v>186</v>
      </c>
      <c r="D11" s="16" t="s">
        <v>187</v>
      </c>
      <c r="E11" s="16" t="s">
        <v>188</v>
      </c>
      <c r="F11" s="16" t="s">
        <v>191</v>
      </c>
    </row>
    <row r="12" spans="1:9" x14ac:dyDescent="0.25">
      <c r="A12" s="49">
        <v>1</v>
      </c>
      <c r="B12" s="18">
        <f t="array" ref="B12:B19">TRANSPOSE(B8:I8)</f>
        <v>250</v>
      </c>
      <c r="C12" s="18">
        <f>B12+B13</f>
        <v>477</v>
      </c>
      <c r="D12" s="18">
        <f t="shared" ref="D12:E12" si="1">C12+C13</f>
        <v>1039</v>
      </c>
      <c r="E12" s="18">
        <f t="shared" si="1"/>
        <v>2088</v>
      </c>
      <c r="F12" s="18">
        <f>E12^2/(8*3)</f>
        <v>181656</v>
      </c>
      <c r="G12" s="24" t="s">
        <v>199</v>
      </c>
    </row>
    <row r="13" spans="1:9" x14ac:dyDescent="0.25">
      <c r="A13" s="49" t="s">
        <v>180</v>
      </c>
      <c r="B13" s="18">
        <v>227</v>
      </c>
      <c r="C13" s="18">
        <f>B14+B15</f>
        <v>562</v>
      </c>
      <c r="D13" s="18">
        <f t="shared" ref="D13:E13" si="2">C14+C15</f>
        <v>1049</v>
      </c>
      <c r="E13" s="18">
        <f t="shared" si="2"/>
        <v>-56</v>
      </c>
      <c r="F13" s="18">
        <f t="shared" ref="F13:F18" si="3">E13^2/(8*3)</f>
        <v>130.66666666666666</v>
      </c>
      <c r="G13" s="24" t="s">
        <v>195</v>
      </c>
    </row>
    <row r="14" spans="1:9" x14ac:dyDescent="0.25">
      <c r="A14" s="49" t="s">
        <v>178</v>
      </c>
      <c r="B14" s="18">
        <v>254</v>
      </c>
      <c r="C14" s="18">
        <f>B16+B17</f>
        <v>487</v>
      </c>
      <c r="D14" s="18">
        <f t="shared" ref="D14:E14" si="4">C16+C17</f>
        <v>-31</v>
      </c>
      <c r="E14" s="18">
        <f t="shared" si="4"/>
        <v>-160</v>
      </c>
      <c r="F14" s="18">
        <f t="shared" si="3"/>
        <v>1066.6666666666667</v>
      </c>
      <c r="G14" s="24" t="s">
        <v>192</v>
      </c>
    </row>
    <row r="15" spans="1:9" x14ac:dyDescent="0.25">
      <c r="A15" s="49" t="s">
        <v>179</v>
      </c>
      <c r="B15" s="18">
        <v>308</v>
      </c>
      <c r="C15" s="18">
        <f>B18+B19</f>
        <v>562</v>
      </c>
      <c r="D15" s="18">
        <f t="shared" ref="D15:E15" si="5">C18+C19</f>
        <v>-25</v>
      </c>
      <c r="E15" s="18">
        <f t="shared" si="5"/>
        <v>56</v>
      </c>
      <c r="F15" s="18">
        <f t="shared" si="3"/>
        <v>130.66666666666666</v>
      </c>
      <c r="G15" s="24" t="s">
        <v>196</v>
      </c>
    </row>
    <row r="16" spans="1:9" x14ac:dyDescent="0.25">
      <c r="A16" s="49" t="s">
        <v>182</v>
      </c>
      <c r="B16" s="18">
        <v>232</v>
      </c>
      <c r="C16" s="18">
        <f>-B13+B12</f>
        <v>23</v>
      </c>
      <c r="D16" s="18">
        <f t="shared" ref="D16:E16" si="6">-C13+C12</f>
        <v>-85</v>
      </c>
      <c r="E16" s="18">
        <f t="shared" si="6"/>
        <v>-10</v>
      </c>
      <c r="F16" s="18">
        <f t="shared" si="3"/>
        <v>4.166666666666667</v>
      </c>
      <c r="G16" s="24" t="s">
        <v>193</v>
      </c>
    </row>
    <row r="17" spans="1:7" x14ac:dyDescent="0.25">
      <c r="A17" s="49" t="s">
        <v>177</v>
      </c>
      <c r="B17" s="18">
        <v>255</v>
      </c>
      <c r="C17" s="18">
        <f>-B15+B14</f>
        <v>-54</v>
      </c>
      <c r="D17" s="18">
        <f t="shared" ref="D17:E17" si="7">-C15+C14</f>
        <v>-75</v>
      </c>
      <c r="E17" s="18">
        <f t="shared" si="7"/>
        <v>-6</v>
      </c>
      <c r="F17" s="18">
        <f t="shared" si="3"/>
        <v>1.5</v>
      </c>
      <c r="G17" s="24" t="s">
        <v>197</v>
      </c>
    </row>
    <row r="18" spans="1:7" x14ac:dyDescent="0.25">
      <c r="A18" s="49" t="s">
        <v>189</v>
      </c>
      <c r="B18" s="18">
        <v>280</v>
      </c>
      <c r="C18" s="18">
        <f>-B17+B16</f>
        <v>-23</v>
      </c>
      <c r="D18" s="18">
        <f t="shared" ref="D18:E18" si="8">-C17+C16</f>
        <v>77</v>
      </c>
      <c r="E18" s="18">
        <f t="shared" si="8"/>
        <v>-10</v>
      </c>
      <c r="F18" s="18">
        <f t="shared" si="3"/>
        <v>4.166666666666667</v>
      </c>
      <c r="G18" s="24" t="s">
        <v>194</v>
      </c>
    </row>
    <row r="19" spans="1:7" ht="15.75" thickBot="1" x14ac:dyDescent="0.3">
      <c r="A19" s="52" t="s">
        <v>190</v>
      </c>
      <c r="B19" s="19">
        <v>282</v>
      </c>
      <c r="C19" s="19">
        <f>-B19+B18</f>
        <v>-2</v>
      </c>
      <c r="D19" s="19">
        <f t="shared" ref="D19:E19" si="9">-C19+C18</f>
        <v>-21</v>
      </c>
      <c r="E19" s="19">
        <f t="shared" si="9"/>
        <v>98</v>
      </c>
      <c r="F19" s="19">
        <f>E19^2/(8*3)</f>
        <v>400.16666666666669</v>
      </c>
      <c r="G19" s="24" t="s">
        <v>198</v>
      </c>
    </row>
  </sheetData>
  <mergeCells count="4">
    <mergeCell ref="A1:E1"/>
    <mergeCell ref="A3:A4"/>
    <mergeCell ref="B3:I3"/>
    <mergeCell ref="A10:F10"/>
  </mergeCells>
  <pageMargins left="0.7" right="0.7" top="0.75" bottom="0.75" header="0.3" footer="0.3"/>
  <ignoredErrors>
    <ignoredError sqref="B8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20" workbookViewId="0">
      <selection activeCell="J42" sqref="J42"/>
    </sheetView>
  </sheetViews>
  <sheetFormatPr defaultRowHeight="15" x14ac:dyDescent="0.25"/>
  <cols>
    <col min="2" max="2" width="9.5703125" bestFit="1" customWidth="1"/>
    <col min="5" max="5" width="16.7109375" bestFit="1" customWidth="1"/>
    <col min="9" max="9" width="11.5703125" bestFit="1" customWidth="1"/>
  </cols>
  <sheetData>
    <row r="1" spans="1:11" ht="15.75" thickBot="1" x14ac:dyDescent="0.3">
      <c r="A1" s="119"/>
      <c r="B1" s="119"/>
      <c r="C1" s="119"/>
      <c r="D1" s="119"/>
      <c r="E1" s="119"/>
      <c r="F1" s="119"/>
    </row>
    <row r="2" spans="1:11" ht="18" x14ac:dyDescent="0.35">
      <c r="A2" s="120" t="s">
        <v>229</v>
      </c>
      <c r="B2" s="121" t="s">
        <v>88</v>
      </c>
      <c r="C2" s="122"/>
      <c r="D2" s="122"/>
      <c r="E2" s="122"/>
      <c r="F2" s="122"/>
      <c r="G2" s="123" t="s">
        <v>249</v>
      </c>
      <c r="H2" s="124"/>
    </row>
    <row r="3" spans="1:11" x14ac:dyDescent="0.25">
      <c r="A3" s="125">
        <v>1</v>
      </c>
      <c r="B3" s="126" t="s">
        <v>250</v>
      </c>
      <c r="C3" s="127">
        <v>101</v>
      </c>
      <c r="D3" s="127">
        <v>111</v>
      </c>
      <c r="E3" s="127">
        <v>75</v>
      </c>
      <c r="F3" s="127">
        <v>55</v>
      </c>
      <c r="G3" s="128">
        <f>SUM(C3:F3)</f>
        <v>342</v>
      </c>
      <c r="H3" s="13"/>
      <c r="J3" s="119"/>
      <c r="K3" s="119"/>
    </row>
    <row r="4" spans="1:11" x14ac:dyDescent="0.25">
      <c r="A4" s="129"/>
      <c r="B4" s="130"/>
      <c r="C4" s="131" t="s">
        <v>179</v>
      </c>
      <c r="D4" s="131" t="s">
        <v>190</v>
      </c>
      <c r="E4" s="131">
        <v>1</v>
      </c>
      <c r="F4" s="131" t="s">
        <v>182</v>
      </c>
      <c r="G4" s="132"/>
      <c r="H4" s="13"/>
      <c r="J4" s="119"/>
      <c r="K4" s="119"/>
    </row>
    <row r="5" spans="1:11" x14ac:dyDescent="0.25">
      <c r="A5" s="129"/>
      <c r="B5" s="126" t="s">
        <v>251</v>
      </c>
      <c r="C5" s="127">
        <v>88</v>
      </c>
      <c r="D5" s="127">
        <v>90</v>
      </c>
      <c r="E5" s="127">
        <v>115</v>
      </c>
      <c r="F5" s="127">
        <v>75</v>
      </c>
      <c r="G5" s="128">
        <f>SUM(C5:F5)</f>
        <v>368</v>
      </c>
      <c r="H5" s="13"/>
      <c r="J5" s="119"/>
      <c r="K5" s="119"/>
    </row>
    <row r="6" spans="1:11" x14ac:dyDescent="0.25">
      <c r="A6" s="133"/>
      <c r="B6" s="130"/>
      <c r="C6" s="131" t="s">
        <v>180</v>
      </c>
      <c r="D6" s="131" t="s">
        <v>178</v>
      </c>
      <c r="E6" s="131" t="s">
        <v>189</v>
      </c>
      <c r="F6" s="131" t="s">
        <v>177</v>
      </c>
      <c r="G6" s="132"/>
      <c r="H6" s="13"/>
      <c r="J6" s="119"/>
      <c r="K6" s="119"/>
    </row>
    <row r="7" spans="1:11" x14ac:dyDescent="0.25">
      <c r="A7" s="125">
        <v>2</v>
      </c>
      <c r="B7" s="126" t="s">
        <v>252</v>
      </c>
      <c r="C7" s="127">
        <v>120</v>
      </c>
      <c r="D7" s="127">
        <v>95</v>
      </c>
      <c r="E7" s="127">
        <v>80</v>
      </c>
      <c r="F7" s="127">
        <v>101</v>
      </c>
      <c r="G7" s="128">
        <f>SUM(C7:F7)</f>
        <v>396</v>
      </c>
      <c r="H7" s="13"/>
      <c r="J7" s="119"/>
      <c r="K7" s="119"/>
    </row>
    <row r="8" spans="1:11" x14ac:dyDescent="0.25">
      <c r="A8" s="129"/>
      <c r="B8" s="130"/>
      <c r="C8" s="134">
        <v>1</v>
      </c>
      <c r="D8" s="131" t="s">
        <v>190</v>
      </c>
      <c r="E8" s="131" t="s">
        <v>177</v>
      </c>
      <c r="F8" s="131" t="s">
        <v>178</v>
      </c>
      <c r="G8" s="132"/>
      <c r="H8" s="13"/>
      <c r="J8" s="119"/>
      <c r="K8" s="119"/>
    </row>
    <row r="9" spans="1:11" x14ac:dyDescent="0.25">
      <c r="A9" s="129"/>
      <c r="B9" s="126" t="s">
        <v>253</v>
      </c>
      <c r="C9" s="127">
        <v>115</v>
      </c>
      <c r="D9" s="127">
        <v>95</v>
      </c>
      <c r="E9" s="127">
        <v>90</v>
      </c>
      <c r="F9" s="127">
        <v>80</v>
      </c>
      <c r="G9" s="128">
        <f>SUM(C9:F9)</f>
        <v>380</v>
      </c>
      <c r="H9" s="13"/>
    </row>
    <row r="10" spans="1:11" ht="15.75" thickBot="1" x14ac:dyDescent="0.3">
      <c r="A10" s="133"/>
      <c r="B10" s="130"/>
      <c r="C10" s="131" t="s">
        <v>179</v>
      </c>
      <c r="D10" s="131" t="s">
        <v>182</v>
      </c>
      <c r="E10" s="131" t="s">
        <v>189</v>
      </c>
      <c r="F10" s="131" t="s">
        <v>180</v>
      </c>
      <c r="G10" s="135"/>
      <c r="H10" s="13"/>
    </row>
    <row r="11" spans="1:11" x14ac:dyDescent="0.25">
      <c r="A11" s="129">
        <v>3</v>
      </c>
      <c r="B11" s="126" t="s">
        <v>254</v>
      </c>
      <c r="C11" s="127">
        <v>75</v>
      </c>
      <c r="D11" s="127">
        <v>100</v>
      </c>
      <c r="E11" s="127">
        <v>55</v>
      </c>
      <c r="F11" s="127">
        <v>92</v>
      </c>
      <c r="G11" s="136">
        <f>SUM(C11:F11)</f>
        <v>322</v>
      </c>
      <c r="H11" s="13"/>
    </row>
    <row r="12" spans="1:11" x14ac:dyDescent="0.25">
      <c r="A12" s="129"/>
      <c r="B12" s="130"/>
      <c r="C12" s="131" t="s">
        <v>189</v>
      </c>
      <c r="D12" s="131" t="s">
        <v>177</v>
      </c>
      <c r="E12" s="131">
        <v>1</v>
      </c>
      <c r="F12" s="131" t="s">
        <v>179</v>
      </c>
      <c r="G12" s="132"/>
      <c r="H12" s="13"/>
    </row>
    <row r="13" spans="1:11" x14ac:dyDescent="0.25">
      <c r="A13" s="129"/>
      <c r="B13" s="126" t="s">
        <v>255</v>
      </c>
      <c r="C13" s="127">
        <v>57</v>
      </c>
      <c r="D13" s="127">
        <v>76</v>
      </c>
      <c r="E13" s="127">
        <v>65</v>
      </c>
      <c r="F13" s="127">
        <v>82</v>
      </c>
      <c r="G13" s="128">
        <f>SUM(C13:F13)</f>
        <v>280</v>
      </c>
      <c r="H13" s="13"/>
    </row>
    <row r="14" spans="1:11" x14ac:dyDescent="0.25">
      <c r="A14" s="133"/>
      <c r="B14" s="130"/>
      <c r="C14" s="131" t="s">
        <v>180</v>
      </c>
      <c r="D14" s="131" t="s">
        <v>190</v>
      </c>
      <c r="E14" s="131" t="s">
        <v>178</v>
      </c>
      <c r="F14" s="131" t="s">
        <v>182</v>
      </c>
      <c r="G14" s="132"/>
      <c r="H14" s="13"/>
    </row>
    <row r="15" spans="1:11" ht="19.5" thickBot="1" x14ac:dyDescent="0.4">
      <c r="F15" s="137" t="s">
        <v>256</v>
      </c>
      <c r="G15" s="75">
        <f>SUMSQ(G3:G14)</f>
        <v>735688</v>
      </c>
      <c r="H15" s="138"/>
    </row>
    <row r="17" spans="1:10" ht="18" thickBot="1" x14ac:dyDescent="0.3">
      <c r="A17" s="139" t="s">
        <v>257</v>
      </c>
      <c r="B17" s="139"/>
      <c r="C17" s="139"/>
      <c r="D17" s="139"/>
      <c r="E17" s="139"/>
      <c r="F17" s="139"/>
      <c r="G17" s="140"/>
      <c r="H17" s="119"/>
    </row>
    <row r="18" spans="1:10" x14ac:dyDescent="0.25">
      <c r="A18" s="120" t="s">
        <v>258</v>
      </c>
      <c r="B18" s="122" t="s">
        <v>259</v>
      </c>
      <c r="C18" s="122">
        <v>3</v>
      </c>
      <c r="D18" s="122">
        <v>4</v>
      </c>
      <c r="E18" s="122">
        <v>5</v>
      </c>
      <c r="F18" s="122"/>
      <c r="G18" s="122" t="s">
        <v>260</v>
      </c>
      <c r="H18" s="122" t="s">
        <v>261</v>
      </c>
      <c r="I18" s="122" t="s">
        <v>67</v>
      </c>
      <c r="J18" s="141"/>
    </row>
    <row r="19" spans="1:10" x14ac:dyDescent="0.25">
      <c r="A19" s="142">
        <v>1</v>
      </c>
      <c r="B19" s="127">
        <f>75+120+55</f>
        <v>250</v>
      </c>
      <c r="C19" s="127">
        <f>B19+B20</f>
        <v>482</v>
      </c>
      <c r="D19" s="127">
        <f>C19+C20</f>
        <v>1016</v>
      </c>
      <c r="E19" s="127">
        <f>D20+D19</f>
        <v>2088</v>
      </c>
      <c r="F19" s="143" t="s">
        <v>262</v>
      </c>
      <c r="G19" s="127" t="s">
        <v>263</v>
      </c>
      <c r="H19" s="127">
        <v>2088</v>
      </c>
      <c r="I19" s="144">
        <f>(H19^2)/24</f>
        <v>181656</v>
      </c>
      <c r="J19" s="145" t="s">
        <v>264</v>
      </c>
    </row>
    <row r="20" spans="1:10" x14ac:dyDescent="0.25">
      <c r="A20" s="142" t="s">
        <v>182</v>
      </c>
      <c r="B20" s="127">
        <v>232</v>
      </c>
      <c r="C20" s="127">
        <f>B21+B22</f>
        <v>534</v>
      </c>
      <c r="D20" s="127">
        <f>C21+C22</f>
        <v>1072</v>
      </c>
      <c r="E20" s="127">
        <f>D21+D22</f>
        <v>10</v>
      </c>
      <c r="F20" s="143" t="s">
        <v>265</v>
      </c>
      <c r="G20" s="127" t="s">
        <v>263</v>
      </c>
      <c r="H20" s="127">
        <v>10</v>
      </c>
      <c r="I20" s="144">
        <f t="shared" ref="I20:I23" si="0">(H20^2)/24</f>
        <v>4.166666666666667</v>
      </c>
      <c r="J20" s="145" t="s">
        <v>266</v>
      </c>
    </row>
    <row r="21" spans="1:10" x14ac:dyDescent="0.25">
      <c r="A21" s="142" t="s">
        <v>178</v>
      </c>
      <c r="B21" s="127">
        <v>254</v>
      </c>
      <c r="C21" s="127">
        <f>B23+B24</f>
        <v>482</v>
      </c>
      <c r="D21" s="127">
        <f>C23+C24</f>
        <v>8</v>
      </c>
      <c r="E21" s="127">
        <f>D23+D24</f>
        <v>160</v>
      </c>
      <c r="F21" s="143" t="s">
        <v>267</v>
      </c>
      <c r="G21" s="127" t="s">
        <v>263</v>
      </c>
      <c r="H21" s="127">
        <v>160</v>
      </c>
      <c r="I21" s="144">
        <f t="shared" si="0"/>
        <v>1066.6666666666667</v>
      </c>
      <c r="J21" s="145" t="s">
        <v>268</v>
      </c>
    </row>
    <row r="22" spans="1:10" x14ac:dyDescent="0.25">
      <c r="A22" s="142" t="s">
        <v>269</v>
      </c>
      <c r="B22" s="127">
        <v>280</v>
      </c>
      <c r="C22" s="127">
        <f>B25+B26</f>
        <v>590</v>
      </c>
      <c r="D22" s="127">
        <f>C25+C26</f>
        <v>2</v>
      </c>
      <c r="E22" s="127">
        <f>D25+D26</f>
        <v>-10</v>
      </c>
      <c r="F22" s="143" t="s">
        <v>270</v>
      </c>
      <c r="G22" s="127" t="s">
        <v>263</v>
      </c>
      <c r="H22" s="127">
        <v>-10</v>
      </c>
      <c r="I22" s="144">
        <f t="shared" si="0"/>
        <v>4.166666666666667</v>
      </c>
      <c r="J22" s="145" t="s">
        <v>271</v>
      </c>
    </row>
    <row r="23" spans="1:10" x14ac:dyDescent="0.25">
      <c r="A23" s="142" t="s">
        <v>180</v>
      </c>
      <c r="B23" s="127">
        <v>227</v>
      </c>
      <c r="C23" s="127">
        <f>B20-B19</f>
        <v>-18</v>
      </c>
      <c r="D23" s="127">
        <f>C20-C19</f>
        <v>52</v>
      </c>
      <c r="E23" s="127">
        <f>D20-D19</f>
        <v>56</v>
      </c>
      <c r="F23" s="143" t="s">
        <v>272</v>
      </c>
      <c r="G23" s="127" t="s">
        <v>263</v>
      </c>
      <c r="H23" s="127">
        <v>56</v>
      </c>
      <c r="I23" s="144">
        <f t="shared" si="0"/>
        <v>130.66666666666666</v>
      </c>
      <c r="J23" s="145" t="s">
        <v>273</v>
      </c>
    </row>
    <row r="24" spans="1:10" x14ac:dyDescent="0.25">
      <c r="A24" s="142" t="s">
        <v>177</v>
      </c>
      <c r="B24" s="127">
        <v>255</v>
      </c>
      <c r="C24" s="127">
        <f>B22-B21</f>
        <v>26</v>
      </c>
      <c r="D24" s="127">
        <f>C22-C21</f>
        <v>108</v>
      </c>
      <c r="E24" s="127">
        <f>D22-D21</f>
        <v>-6</v>
      </c>
      <c r="F24" s="143" t="s">
        <v>274</v>
      </c>
      <c r="G24" s="127">
        <f>G7-G9</f>
        <v>16</v>
      </c>
      <c r="H24" s="127">
        <f>E24-G24</f>
        <v>-22</v>
      </c>
      <c r="I24" s="144">
        <f>(H24^2)/16</f>
        <v>30.25</v>
      </c>
      <c r="J24" s="145" t="s">
        <v>275</v>
      </c>
    </row>
    <row r="25" spans="1:10" x14ac:dyDescent="0.25">
      <c r="A25" s="142" t="s">
        <v>179</v>
      </c>
      <c r="B25" s="127">
        <v>308</v>
      </c>
      <c r="C25" s="127">
        <f>B24-B23</f>
        <v>28</v>
      </c>
      <c r="D25" s="127">
        <f>C24-C23</f>
        <v>44</v>
      </c>
      <c r="E25" s="127">
        <f>D24-D23</f>
        <v>56</v>
      </c>
      <c r="F25" s="143" t="s">
        <v>276</v>
      </c>
      <c r="G25" s="127">
        <f>342-368</f>
        <v>-26</v>
      </c>
      <c r="H25" s="127">
        <f t="shared" ref="H25:H26" si="1">E25-G25</f>
        <v>82</v>
      </c>
      <c r="I25" s="144">
        <f>(H25^2)/16</f>
        <v>420.25</v>
      </c>
      <c r="J25" s="145" t="s">
        <v>277</v>
      </c>
    </row>
    <row r="26" spans="1:10" ht="15.75" thickBot="1" x14ac:dyDescent="0.3">
      <c r="A26" s="146" t="s">
        <v>190</v>
      </c>
      <c r="B26" s="147">
        <v>282</v>
      </c>
      <c r="C26" s="147">
        <f>B26-B25</f>
        <v>-26</v>
      </c>
      <c r="D26" s="147">
        <f>C26-C25</f>
        <v>-54</v>
      </c>
      <c r="E26" s="147">
        <f>D26-D25</f>
        <v>-98</v>
      </c>
      <c r="F26" s="148" t="s">
        <v>278</v>
      </c>
      <c r="G26" s="147">
        <f>G13-G11</f>
        <v>-42</v>
      </c>
      <c r="H26" s="147">
        <f t="shared" si="1"/>
        <v>-56</v>
      </c>
      <c r="I26" s="149">
        <f>(H26^2)/16</f>
        <v>196</v>
      </c>
      <c r="J26" s="150" t="s">
        <v>279</v>
      </c>
    </row>
    <row r="27" spans="1:10" ht="15.75" thickBot="1" x14ac:dyDescent="0.3">
      <c r="A27" s="151"/>
      <c r="B27" s="151"/>
      <c r="C27" s="151"/>
      <c r="D27" s="151"/>
      <c r="E27" s="151"/>
      <c r="F27" s="151"/>
      <c r="G27" s="151"/>
      <c r="H27" s="151"/>
    </row>
    <row r="28" spans="1:10" x14ac:dyDescent="0.25">
      <c r="A28" s="120" t="s">
        <v>222</v>
      </c>
      <c r="B28" s="152">
        <f>SUM(I20:I26)</f>
        <v>1852.166666666667</v>
      </c>
      <c r="C28" s="122"/>
      <c r="D28" s="153" t="s">
        <v>156</v>
      </c>
      <c r="E28" s="154">
        <v>189730</v>
      </c>
      <c r="F28" s="151"/>
    </row>
    <row r="29" spans="1:10" x14ac:dyDescent="0.25">
      <c r="A29" s="142" t="s">
        <v>200</v>
      </c>
      <c r="B29" s="127">
        <f>(SUMSQ(G3:G14)/4)-E29</f>
        <v>2266</v>
      </c>
      <c r="C29" s="127"/>
      <c r="D29" s="127" t="s">
        <v>280</v>
      </c>
      <c r="E29" s="155">
        <v>181656</v>
      </c>
      <c r="F29" s="151"/>
      <c r="G29" s="151"/>
      <c r="H29" s="151"/>
    </row>
    <row r="30" spans="1:10" ht="15.75" thickBot="1" x14ac:dyDescent="0.3">
      <c r="A30" s="146" t="s">
        <v>157</v>
      </c>
      <c r="B30" s="156">
        <f>E28-E29</f>
        <v>8074</v>
      </c>
      <c r="C30" s="147"/>
      <c r="D30" s="147" t="s">
        <v>160</v>
      </c>
      <c r="E30" s="172">
        <f>B30-B29-B28</f>
        <v>3955.833333333333</v>
      </c>
      <c r="F30" s="151"/>
      <c r="G30" s="151"/>
      <c r="H30" s="151"/>
    </row>
    <row r="31" spans="1:10" ht="15.75" thickBot="1" x14ac:dyDescent="0.3">
      <c r="I31" s="151"/>
    </row>
    <row r="32" spans="1:10" ht="15.75" thickBot="1" x14ac:dyDescent="0.3">
      <c r="A32" s="157" t="s">
        <v>64</v>
      </c>
      <c r="B32" s="158"/>
      <c r="C32" s="159"/>
      <c r="D32" s="151"/>
      <c r="E32" s="151"/>
      <c r="F32" s="151"/>
      <c r="G32" s="151"/>
      <c r="H32" s="151"/>
      <c r="I32" s="151"/>
    </row>
    <row r="33" spans="1:9" ht="18" x14ac:dyDescent="0.35">
      <c r="A33" s="120" t="s">
        <v>281</v>
      </c>
      <c r="B33" s="122" t="s">
        <v>282</v>
      </c>
      <c r="C33" s="122" t="s">
        <v>85</v>
      </c>
      <c r="D33" s="122" t="s">
        <v>283</v>
      </c>
      <c r="E33" s="122" t="s">
        <v>284</v>
      </c>
      <c r="F33" s="122" t="s">
        <v>285</v>
      </c>
      <c r="G33" s="160" t="s">
        <v>286</v>
      </c>
      <c r="H33" s="161"/>
      <c r="I33" s="151"/>
    </row>
    <row r="34" spans="1:9" x14ac:dyDescent="0.25">
      <c r="A34" s="142"/>
      <c r="B34" s="127"/>
      <c r="C34" s="127"/>
      <c r="D34" s="127"/>
      <c r="E34" s="127"/>
      <c r="F34" s="127"/>
      <c r="G34" s="162"/>
      <c r="H34" s="119"/>
      <c r="I34" s="151"/>
    </row>
    <row r="35" spans="1:9" x14ac:dyDescent="0.25">
      <c r="A35" s="163" t="s">
        <v>70</v>
      </c>
      <c r="B35" s="164">
        <v>7</v>
      </c>
      <c r="C35" s="164">
        <v>1852.166666666667</v>
      </c>
      <c r="D35" s="164">
        <f>C35/B35</f>
        <v>264.59523809523813</v>
      </c>
      <c r="E35" s="164">
        <f>(D35/D$44)^(-1)</f>
        <v>1.3591371285063354</v>
      </c>
      <c r="F35" s="164">
        <f>FINV(0.05,11,7)</f>
        <v>3.6030372692005392</v>
      </c>
      <c r="G35" s="165" t="str">
        <f>IF(E35&gt;F35,"REJECT","Accept")</f>
        <v>Accept</v>
      </c>
      <c r="H35" s="166"/>
    </row>
    <row r="36" spans="1:9" x14ac:dyDescent="0.25">
      <c r="A36" s="142" t="s">
        <v>182</v>
      </c>
      <c r="B36" s="127">
        <v>1</v>
      </c>
      <c r="C36" s="127">
        <v>4.166666666666667</v>
      </c>
      <c r="D36" s="164">
        <f t="shared" ref="D36:D41" si="2">C36/B36</f>
        <v>4.166666666666667</v>
      </c>
      <c r="E36" s="164">
        <f t="shared" ref="E36:E43" si="3">(D36/D$44)^(-1)</f>
        <v>86.309090909090884</v>
      </c>
      <c r="F36" s="127">
        <f>FINV(0.05,11,1)</f>
        <v>242.98345819670288</v>
      </c>
      <c r="G36" s="165" t="str">
        <f t="shared" ref="G36:G43" si="4">IF(E36&gt;F36,"REJECT","Accept")</f>
        <v>Accept</v>
      </c>
      <c r="H36" s="119"/>
      <c r="I36" s="151"/>
    </row>
    <row r="37" spans="1:9" x14ac:dyDescent="0.25">
      <c r="A37" s="142" t="s">
        <v>178</v>
      </c>
      <c r="B37" s="127">
        <v>1</v>
      </c>
      <c r="C37" s="127">
        <v>1066.6666666666667</v>
      </c>
      <c r="D37" s="164">
        <f t="shared" si="2"/>
        <v>1066.6666666666667</v>
      </c>
      <c r="E37" s="164">
        <f t="shared" si="3"/>
        <v>0.33714488636363626</v>
      </c>
      <c r="F37" s="127">
        <f>FINV(0.05,1,11)</f>
        <v>4.8443356749436166</v>
      </c>
      <c r="G37" s="165" t="str">
        <f t="shared" si="4"/>
        <v>Accept</v>
      </c>
      <c r="H37" s="119"/>
    </row>
    <row r="38" spans="1:9" x14ac:dyDescent="0.25">
      <c r="A38" s="142" t="s">
        <v>269</v>
      </c>
      <c r="B38" s="127">
        <v>1</v>
      </c>
      <c r="C38" s="127">
        <v>4.166666666666667</v>
      </c>
      <c r="D38" s="164">
        <f t="shared" si="2"/>
        <v>4.166666666666667</v>
      </c>
      <c r="E38" s="164">
        <f t="shared" si="3"/>
        <v>86.309090909090884</v>
      </c>
      <c r="F38" s="127">
        <v>242.98345816188311</v>
      </c>
      <c r="G38" s="165" t="str">
        <f t="shared" si="4"/>
        <v>Accept</v>
      </c>
      <c r="H38" s="119"/>
    </row>
    <row r="39" spans="1:9" x14ac:dyDescent="0.25">
      <c r="A39" s="142" t="s">
        <v>180</v>
      </c>
      <c r="B39" s="127">
        <v>1</v>
      </c>
      <c r="C39" s="144">
        <v>130.66666666666666</v>
      </c>
      <c r="D39" s="164">
        <f t="shared" si="2"/>
        <v>130.66666666666666</v>
      </c>
      <c r="E39" s="164">
        <f t="shared" si="3"/>
        <v>2.7522031539888681</v>
      </c>
      <c r="F39" s="127">
        <f>FINV(0.05,11,1)</f>
        <v>242.98345819670288</v>
      </c>
      <c r="G39" s="165" t="str">
        <f t="shared" si="4"/>
        <v>Accept</v>
      </c>
      <c r="H39" s="119"/>
    </row>
    <row r="40" spans="1:9" x14ac:dyDescent="0.25">
      <c r="A40" s="142" t="s">
        <v>177</v>
      </c>
      <c r="B40" s="167">
        <v>1</v>
      </c>
      <c r="C40" s="127">
        <v>30.25</v>
      </c>
      <c r="D40" s="164">
        <f t="shared" si="2"/>
        <v>30.25</v>
      </c>
      <c r="E40" s="164">
        <f t="shared" si="3"/>
        <v>11.888304532932631</v>
      </c>
      <c r="F40" s="127">
        <f>FINV(0.05,11,1)</f>
        <v>242.98345819670288</v>
      </c>
      <c r="G40" s="165" t="str">
        <f t="shared" si="4"/>
        <v>Accept</v>
      </c>
      <c r="H40" s="119"/>
    </row>
    <row r="41" spans="1:9" x14ac:dyDescent="0.25">
      <c r="A41" s="142" t="s">
        <v>179</v>
      </c>
      <c r="B41" s="167">
        <v>1</v>
      </c>
      <c r="C41" s="127">
        <v>420.25</v>
      </c>
      <c r="D41" s="164">
        <f t="shared" si="2"/>
        <v>420.25</v>
      </c>
      <c r="E41" s="164">
        <f t="shared" si="3"/>
        <v>0.85573161718313406</v>
      </c>
      <c r="F41" s="127">
        <f>FINV(0.05,1,11)</f>
        <v>4.8443356749436166</v>
      </c>
      <c r="G41" s="165" t="str">
        <f t="shared" si="4"/>
        <v>Accept</v>
      </c>
      <c r="H41" s="119"/>
    </row>
    <row r="42" spans="1:9" x14ac:dyDescent="0.25">
      <c r="A42" s="142" t="s">
        <v>190</v>
      </c>
      <c r="B42" s="167">
        <v>1</v>
      </c>
      <c r="C42" s="127">
        <v>196</v>
      </c>
      <c r="D42" s="164">
        <f>C42/B42</f>
        <v>196</v>
      </c>
      <c r="E42" s="164">
        <f t="shared" si="3"/>
        <v>1.8348021026592454</v>
      </c>
      <c r="F42" s="127">
        <f>FINV(0.05,11,1)</f>
        <v>242.98345819670288</v>
      </c>
      <c r="G42" s="165" t="str">
        <f t="shared" si="4"/>
        <v>Accept</v>
      </c>
      <c r="H42" s="119"/>
    </row>
    <row r="43" spans="1:9" x14ac:dyDescent="0.25">
      <c r="A43" s="163" t="s">
        <v>88</v>
      </c>
      <c r="B43" s="164">
        <v>5</v>
      </c>
      <c r="C43" s="164">
        <v>2266</v>
      </c>
      <c r="D43" s="164">
        <f t="shared" ref="D43:D44" si="5">C43/B43</f>
        <v>453.2</v>
      </c>
      <c r="E43" s="164">
        <f t="shared" si="3"/>
        <v>0.79351547246516341</v>
      </c>
      <c r="F43" s="164">
        <f>FINV(0.05,5,11)</f>
        <v>3.2038742627296211</v>
      </c>
      <c r="G43" s="165" t="str">
        <f t="shared" si="4"/>
        <v>Accept</v>
      </c>
      <c r="H43" s="168"/>
    </row>
    <row r="44" spans="1:9" x14ac:dyDescent="0.25">
      <c r="A44" s="163" t="s">
        <v>71</v>
      </c>
      <c r="B44" s="164">
        <v>11</v>
      </c>
      <c r="C44" s="164">
        <v>3955.833333333333</v>
      </c>
      <c r="D44" s="164">
        <f t="shared" si="5"/>
        <v>359.62121212121207</v>
      </c>
      <c r="E44" s="127"/>
      <c r="F44" s="127"/>
      <c r="G44" s="162"/>
      <c r="H44" s="119"/>
    </row>
    <row r="45" spans="1:9" ht="15.75" thickBot="1" x14ac:dyDescent="0.3">
      <c r="A45" s="169" t="s">
        <v>72</v>
      </c>
      <c r="B45" s="170">
        <v>23</v>
      </c>
      <c r="C45" s="170">
        <v>8074</v>
      </c>
      <c r="D45" s="147"/>
      <c r="E45" s="147"/>
      <c r="F45" s="147"/>
      <c r="G45" s="171"/>
      <c r="H45" s="119"/>
    </row>
  </sheetData>
  <mergeCells count="17">
    <mergeCell ref="A32:C32"/>
    <mergeCell ref="A11:A14"/>
    <mergeCell ref="B11:B12"/>
    <mergeCell ref="G11:G12"/>
    <mergeCell ref="B13:B14"/>
    <mergeCell ref="G13:G14"/>
    <mergeCell ref="A17:G17"/>
    <mergeCell ref="A3:A6"/>
    <mergeCell ref="B3:B4"/>
    <mergeCell ref="G3:G4"/>
    <mergeCell ref="B5:B6"/>
    <mergeCell ref="G5:G6"/>
    <mergeCell ref="A7:A10"/>
    <mergeCell ref="B7:B8"/>
    <mergeCell ref="G7:G8"/>
    <mergeCell ref="B9:B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prac 1</vt:lpstr>
      <vt:lpstr>prac 2</vt:lpstr>
      <vt:lpstr>prac 3</vt:lpstr>
      <vt:lpstr>prac 4</vt:lpstr>
      <vt:lpstr>prac 5</vt:lpstr>
      <vt:lpstr>prac 6</vt:lpstr>
      <vt:lpstr>prac 7</vt:lpstr>
      <vt:lpstr>prac 8</vt:lpstr>
      <vt:lpstr>prac 9</vt:lpstr>
      <vt:lpstr>prac 10</vt:lpstr>
      <vt:lpstr>prac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</dc:creator>
  <cp:lastModifiedBy>AritraBiswas</cp:lastModifiedBy>
  <cp:lastPrinted>2015-04-06T11:02:31Z</cp:lastPrinted>
  <dcterms:created xsi:type="dcterms:W3CDTF">2015-01-29T08:27:38Z</dcterms:created>
  <dcterms:modified xsi:type="dcterms:W3CDTF">2016-05-08T06:04:44Z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176e65f9-6491-422c-b5d9-0d2e82d269e2</vt:lpwstr>
  </property>
</Properties>
</file>