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traBiswas\Desktop\StatExcel\"/>
    </mc:Choice>
  </mc:AlternateContent>
  <bookViews>
    <workbookView xWindow="120" yWindow="45" windowWidth="15135" windowHeight="8130"/>
  </bookViews>
  <sheets>
    <sheet name="Prac 1,2" sheetId="1" r:id="rId1"/>
    <sheet name="Prac 3,4" sheetId="2" r:id="rId2"/>
    <sheet name="Prac 5" sheetId="3" r:id="rId3"/>
    <sheet name="Prac 6" sheetId="4" r:id="rId4"/>
    <sheet name="Prac 7,8" sheetId="5" r:id="rId5"/>
    <sheet name="Prac 9" sheetId="6" r:id="rId6"/>
    <sheet name="Prac 10" sheetId="7" r:id="rId7"/>
    <sheet name="Prac 11" sheetId="8" r:id="rId8"/>
    <sheet name="Prac 12" sheetId="9" r:id="rId9"/>
    <sheet name="Prac 13" sheetId="10" r:id="rId10"/>
    <sheet name="Prac 14" sheetId="12" r:id="rId11"/>
    <sheet name="Prac 15" sheetId="13" r:id="rId12"/>
    <sheet name="Prac 16" sheetId="15" r:id="rId13"/>
    <sheet name="Prac 17" sheetId="16" r:id="rId14"/>
    <sheet name="Prac 18" sheetId="17" r:id="rId15"/>
  </sheets>
  <externalReferences>
    <externalReference r:id="rId16"/>
  </externalReferences>
  <calcPr calcId="152511"/>
</workbook>
</file>

<file path=xl/calcChain.xml><?xml version="1.0" encoding="utf-8"?>
<calcChain xmlns="http://schemas.openxmlformats.org/spreadsheetml/2006/main">
  <c r="C59" i="17" l="1"/>
  <c r="C69" i="17" s="1"/>
  <c r="D59" i="17"/>
  <c r="D69" i="17" s="1"/>
  <c r="E59" i="17"/>
  <c r="E69" i="17" s="1"/>
  <c r="F59" i="17"/>
  <c r="F69" i="17" s="1"/>
  <c r="G59" i="17"/>
  <c r="G69" i="17" s="1"/>
  <c r="H59" i="17"/>
  <c r="H69" i="17" s="1"/>
  <c r="I59" i="17"/>
  <c r="I69" i="17" s="1"/>
  <c r="J59" i="17"/>
  <c r="J69" i="17" s="1"/>
  <c r="B59" i="17"/>
  <c r="B68" i="17" s="1"/>
  <c r="B40" i="17" a="1"/>
  <c r="B40" i="17" s="1"/>
  <c r="C38" i="17"/>
  <c r="G18" i="17"/>
  <c r="G23" i="17"/>
  <c r="G28" i="17"/>
  <c r="G13" i="17"/>
  <c r="B10" i="17"/>
  <c r="G39" i="16"/>
  <c r="G40" i="16"/>
  <c r="G38" i="16"/>
  <c r="C38" i="16"/>
  <c r="C39" i="16"/>
  <c r="J35" i="16"/>
  <c r="K35" i="16"/>
  <c r="I35" i="16"/>
  <c r="B35" i="16"/>
  <c r="A35" i="16"/>
  <c r="G29" i="16"/>
  <c r="G30" i="16"/>
  <c r="G28" i="16"/>
  <c r="C29" i="16"/>
  <c r="C28" i="16"/>
  <c r="K25" i="16"/>
  <c r="J25" i="16"/>
  <c r="I25" i="16"/>
  <c r="A25" i="16"/>
  <c r="G20" i="16"/>
  <c r="G19" i="16"/>
  <c r="G18" i="16"/>
  <c r="C18" i="16"/>
  <c r="K15" i="16"/>
  <c r="J15" i="16"/>
  <c r="I15" i="16"/>
  <c r="B15" i="16"/>
  <c r="C15" i="16"/>
  <c r="A15" i="16"/>
  <c r="F20" i="16"/>
  <c r="F19" i="16"/>
  <c r="F18" i="16"/>
  <c r="B18" i="16"/>
  <c r="K14" i="16"/>
  <c r="J14" i="16"/>
  <c r="I14" i="16"/>
  <c r="B14" i="16"/>
  <c r="C14" i="16"/>
  <c r="B20" i="16"/>
  <c r="A14" i="16"/>
  <c r="I51" i="15"/>
  <c r="I50" i="15"/>
  <c r="I49" i="15"/>
  <c r="I48" i="15"/>
  <c r="D49" i="15"/>
  <c r="D50" i="15"/>
  <c r="D48" i="15"/>
  <c r="N45" i="15"/>
  <c r="M45" i="15"/>
  <c r="L45" i="15"/>
  <c r="K45" i="15"/>
  <c r="A45" i="15"/>
  <c r="I39" i="15"/>
  <c r="H39" i="15"/>
  <c r="G39" i="15"/>
  <c r="I38" i="15"/>
  <c r="H38" i="15"/>
  <c r="G38" i="15"/>
  <c r="I37" i="15"/>
  <c r="H37" i="15"/>
  <c r="G37" i="15"/>
  <c r="I36" i="15"/>
  <c r="H36" i="15"/>
  <c r="G36" i="15"/>
  <c r="D36" i="15"/>
  <c r="C36" i="15"/>
  <c r="B36" i="15"/>
  <c r="N33" i="15"/>
  <c r="M33" i="15"/>
  <c r="L33" i="15"/>
  <c r="K33" i="15"/>
  <c r="N32" i="15"/>
  <c r="M32" i="15"/>
  <c r="L32" i="15"/>
  <c r="K32" i="15"/>
  <c r="N31" i="15"/>
  <c r="M31" i="15"/>
  <c r="L31" i="15"/>
  <c r="K31" i="15"/>
  <c r="B33" i="15"/>
  <c r="C33" i="15"/>
  <c r="D33" i="15"/>
  <c r="B32" i="15"/>
  <c r="C32" i="15"/>
  <c r="D32" i="15"/>
  <c r="B31" i="15"/>
  <c r="C31" i="15"/>
  <c r="D31" i="15"/>
  <c r="F25" i="15"/>
  <c r="F26" i="15"/>
  <c r="F27" i="15"/>
  <c r="F24" i="15"/>
  <c r="A25" i="15"/>
  <c r="A26" i="15"/>
  <c r="A27" i="15"/>
  <c r="L18" i="15"/>
  <c r="M18" i="15"/>
  <c r="N18" i="15"/>
  <c r="K18" i="15"/>
  <c r="D18" i="15"/>
  <c r="A18" i="15"/>
  <c r="E7" i="13"/>
  <c r="B19" i="13" s="1" a="1"/>
  <c r="E44" i="12" a="1"/>
  <c r="E44" i="12" s="1"/>
  <c r="D42" i="12"/>
  <c r="C18" i="12"/>
  <c r="D18" i="12"/>
  <c r="E18" i="12"/>
  <c r="B18" i="12"/>
  <c r="C17" i="12"/>
  <c r="D17" i="12"/>
  <c r="E17" i="12"/>
  <c r="B17" i="12"/>
  <c r="B11" i="12" a="1"/>
  <c r="B11" i="12" s="1"/>
  <c r="B19" i="12" s="1"/>
  <c r="C20" i="10" a="1"/>
  <c r="C20" i="10" s="1"/>
  <c r="J17" i="10" a="1"/>
  <c r="J17" i="10" s="1"/>
  <c r="F17" i="10" a="1"/>
  <c r="F17" i="10" s="1"/>
  <c r="B17" i="10" a="1"/>
  <c r="B17" i="10" s="1"/>
  <c r="J25" i="10" a="1"/>
  <c r="J25" i="10" s="1"/>
  <c r="F25" i="10" a="1"/>
  <c r="F25" i="10" s="1"/>
  <c r="B25" i="10" a="1"/>
  <c r="B25" i="10" s="1"/>
  <c r="F72" i="9" a="1"/>
  <c r="F72" i="9" s="1"/>
  <c r="F73" i="9"/>
  <c r="G74" i="9"/>
  <c r="G70" i="9" a="1"/>
  <c r="G70" i="9" s="1"/>
  <c r="B68" i="9" a="1"/>
  <c r="B68" i="9" s="1"/>
  <c r="G28" i="9" a="1"/>
  <c r="G28" i="9" s="1"/>
  <c r="F17" i="9" a="1"/>
  <c r="F17" i="9" s="1"/>
  <c r="B14" i="9" a="1"/>
  <c r="B14" i="9" s="1"/>
  <c r="B7" i="9"/>
  <c r="C11" i="8"/>
  <c r="D11" i="8"/>
  <c r="E11" i="8"/>
  <c r="B11" i="8"/>
  <c r="C10" i="8"/>
  <c r="D10" i="8"/>
  <c r="E10" i="8"/>
  <c r="B10" i="8"/>
  <c r="G21" i="7"/>
  <c r="C35" i="7" s="1"/>
  <c r="G31" i="7"/>
  <c r="E36" i="7" s="1"/>
  <c r="B31" i="7"/>
  <c r="E35" i="7" s="1"/>
  <c r="G26" i="7"/>
  <c r="D35" i="7" s="1"/>
  <c r="B26" i="7"/>
  <c r="E34" i="7" s="1"/>
  <c r="B21" i="7"/>
  <c r="C34" i="7" s="1"/>
  <c r="G16" i="7"/>
  <c r="B36" i="7" s="1"/>
  <c r="B16" i="7"/>
  <c r="B35" i="7" s="1"/>
  <c r="G11" i="7"/>
  <c r="C33" i="7" s="1"/>
  <c r="B11" i="7"/>
  <c r="B33" i="7" s="1"/>
  <c r="H3" i="7"/>
  <c r="B30" i="6" a="1"/>
  <c r="B30" i="6" s="1"/>
  <c r="F14" i="6" a="1"/>
  <c r="F14" i="6" s="1"/>
  <c r="B17" i="6" a="1"/>
  <c r="B17" i="6" s="1"/>
  <c r="B14" i="6" a="1"/>
  <c r="B14" i="6" s="1"/>
  <c r="D27" i="5"/>
  <c r="C33" i="5" s="1"/>
  <c r="D26" i="5"/>
  <c r="B33" i="5" s="1"/>
  <c r="B7" i="5"/>
  <c r="B12" i="5" s="1"/>
  <c r="B10" i="4"/>
  <c r="B11" i="4" s="1"/>
  <c r="E6" i="4" s="1"/>
  <c r="G6" i="4" s="1"/>
  <c r="B8" i="4"/>
  <c r="E48" i="3"/>
  <c r="E49" i="3" s="1"/>
  <c r="E8" i="3"/>
  <c r="E9" i="3" s="1"/>
  <c r="G27" i="2"/>
  <c r="G30" i="2" s="1"/>
  <c r="G31" i="2" s="1"/>
  <c r="C27" i="2"/>
  <c r="C30" i="2" s="1"/>
  <c r="C31" i="2" s="1"/>
  <c r="C23" i="2"/>
  <c r="F8" i="2"/>
  <c r="F7" i="2"/>
  <c r="F6" i="2"/>
  <c r="E21" i="1"/>
  <c r="E20" i="1"/>
  <c r="E19" i="1"/>
  <c r="E18" i="1"/>
  <c r="B21" i="1"/>
  <c r="B18" i="1"/>
  <c r="B20" i="1" s="1"/>
  <c r="E17" i="1"/>
  <c r="F26" i="1" s="1"/>
  <c r="B17" i="1"/>
  <c r="H4" i="1"/>
  <c r="H3" i="1"/>
  <c r="H5" i="1"/>
  <c r="E3" i="1"/>
  <c r="B19" i="13" l="1"/>
  <c r="B20" i="13"/>
  <c r="F6" i="4"/>
  <c r="H6" i="4" s="1"/>
  <c r="F25" i="1"/>
  <c r="D26" i="1"/>
  <c r="F9" i="2"/>
  <c r="F10" i="2" s="1"/>
  <c r="F11" i="2" s="1"/>
  <c r="B28" i="5"/>
  <c r="D28" i="5"/>
  <c r="H73" i="9"/>
  <c r="G72" i="9"/>
  <c r="B76" i="9" s="1" a="1"/>
  <c r="B11" i="13" a="1"/>
  <c r="B11" i="13" s="1"/>
  <c r="C35" i="17"/>
  <c r="C32" i="17"/>
  <c r="C34" i="17"/>
  <c r="B67" i="17"/>
  <c r="I67" i="17"/>
  <c r="G67" i="17"/>
  <c r="E67" i="17"/>
  <c r="C67" i="17"/>
  <c r="C74" i="17" s="1"/>
  <c r="B69" i="17"/>
  <c r="I68" i="17"/>
  <c r="G68" i="17"/>
  <c r="E68" i="17"/>
  <c r="C68" i="17"/>
  <c r="C33" i="17"/>
  <c r="J67" i="17"/>
  <c r="H67" i="17"/>
  <c r="H74" i="17" s="1"/>
  <c r="F67" i="17"/>
  <c r="D67" i="17"/>
  <c r="D74" i="17" s="1"/>
  <c r="J68" i="17"/>
  <c r="H68" i="17"/>
  <c r="F68" i="17"/>
  <c r="D68" i="17"/>
  <c r="E43" i="17"/>
  <c r="C43" i="17"/>
  <c r="E42" i="17"/>
  <c r="C42" i="17"/>
  <c r="E41" i="17"/>
  <c r="C41" i="17"/>
  <c r="E40" i="17"/>
  <c r="C40" i="17"/>
  <c r="D43" i="17"/>
  <c r="B43" i="17"/>
  <c r="D42" i="17"/>
  <c r="B42" i="17"/>
  <c r="D41" i="17"/>
  <c r="B41" i="17"/>
  <c r="D40" i="17"/>
  <c r="B19" i="16"/>
  <c r="B25" i="16" s="1"/>
  <c r="C19" i="16"/>
  <c r="C20" i="16"/>
  <c r="C25" i="16" s="1"/>
  <c r="B18" i="15"/>
  <c r="C18" i="15"/>
  <c r="A24" i="15"/>
  <c r="A33" i="15" s="1"/>
  <c r="B21" i="13"/>
  <c r="B12" i="13"/>
  <c r="B13" i="13"/>
  <c r="E25" i="12"/>
  <c r="C25" i="12"/>
  <c r="B25" i="12"/>
  <c r="D25" i="12"/>
  <c r="E19" i="12"/>
  <c r="C11" i="12"/>
  <c r="C19" i="12" s="1"/>
  <c r="C26" i="12" s="1"/>
  <c r="D11" i="12"/>
  <c r="D19" i="12" s="1"/>
  <c r="D26" i="12" s="1"/>
  <c r="D33" i="12" s="1"/>
  <c r="H20" i="10"/>
  <c r="K19" i="10"/>
  <c r="J18" i="10"/>
  <c r="D22" i="10"/>
  <c r="C21" i="10"/>
  <c r="E21" i="10"/>
  <c r="D20" i="10"/>
  <c r="G27" i="10"/>
  <c r="E22" i="10"/>
  <c r="C22" i="10"/>
  <c r="D21" i="10"/>
  <c r="E20" i="10"/>
  <c r="F26" i="10"/>
  <c r="L18" i="10"/>
  <c r="K17" i="10"/>
  <c r="L19" i="10"/>
  <c r="J19" i="10"/>
  <c r="K18" i="10"/>
  <c r="L17" i="10"/>
  <c r="H26" i="10"/>
  <c r="G25" i="10"/>
  <c r="K27" i="10"/>
  <c r="G19" i="10"/>
  <c r="H18" i="10"/>
  <c r="F18" i="10"/>
  <c r="G17" i="10"/>
  <c r="H19" i="10"/>
  <c r="F19" i="10"/>
  <c r="G18" i="10"/>
  <c r="H17" i="10"/>
  <c r="C19" i="10"/>
  <c r="D18" i="10"/>
  <c r="J21" i="10" s="1"/>
  <c r="B18" i="10"/>
  <c r="H21" i="10" s="1"/>
  <c r="C17" i="10"/>
  <c r="D19" i="10"/>
  <c r="B19" i="10"/>
  <c r="C18" i="10"/>
  <c r="D17" i="10"/>
  <c r="J26" i="10"/>
  <c r="L26" i="10"/>
  <c r="K25" i="10"/>
  <c r="B28" i="10"/>
  <c r="L27" i="10"/>
  <c r="J27" i="10"/>
  <c r="K26" i="10"/>
  <c r="L25" i="10"/>
  <c r="H27" i="10"/>
  <c r="F27" i="10"/>
  <c r="G26" i="10"/>
  <c r="H25" i="10"/>
  <c r="C27" i="10"/>
  <c r="D26" i="10"/>
  <c r="D29" i="10" s="1"/>
  <c r="B26" i="10"/>
  <c r="B29" i="10" s="1"/>
  <c r="C25" i="10"/>
  <c r="D27" i="10"/>
  <c r="B27" i="10"/>
  <c r="C26" i="10"/>
  <c r="D25" i="10"/>
  <c r="H74" i="9"/>
  <c r="F74" i="9"/>
  <c r="G73" i="9"/>
  <c r="H72" i="9"/>
  <c r="H71" i="9"/>
  <c r="H70" i="9"/>
  <c r="G71" i="9"/>
  <c r="C70" i="9"/>
  <c r="B69" i="9"/>
  <c r="D69" i="9"/>
  <c r="C68" i="9"/>
  <c r="D70" i="9"/>
  <c r="B70" i="9"/>
  <c r="C69" i="9"/>
  <c r="D68" i="9"/>
  <c r="H18" i="9"/>
  <c r="H30" i="9"/>
  <c r="G29" i="9"/>
  <c r="G19" i="9"/>
  <c r="F18" i="9"/>
  <c r="I29" i="9"/>
  <c r="H28" i="9"/>
  <c r="I30" i="9"/>
  <c r="G30" i="9"/>
  <c r="H29" i="9"/>
  <c r="I28" i="9"/>
  <c r="G17" i="9"/>
  <c r="H19" i="9"/>
  <c r="F19" i="9"/>
  <c r="G18" i="9"/>
  <c r="H17" i="9"/>
  <c r="C15" i="9"/>
  <c r="C14" i="9"/>
  <c r="B15" i="9"/>
  <c r="D33" i="7"/>
  <c r="D34" i="7"/>
  <c r="E33" i="7"/>
  <c r="C36" i="7"/>
  <c r="D36" i="7"/>
  <c r="E33" i="6"/>
  <c r="C33" i="6"/>
  <c r="E32" i="6"/>
  <c r="C32" i="6"/>
  <c r="E31" i="6"/>
  <c r="C31" i="6"/>
  <c r="E30" i="6"/>
  <c r="C30" i="6"/>
  <c r="D33" i="6"/>
  <c r="B33" i="6"/>
  <c r="D32" i="6"/>
  <c r="B32" i="6"/>
  <c r="D31" i="6"/>
  <c r="B31" i="6"/>
  <c r="D30" i="6"/>
  <c r="G15" i="6"/>
  <c r="G14" i="6"/>
  <c r="F17" i="6" s="1" a="1"/>
  <c r="F15" i="6"/>
  <c r="C18" i="6"/>
  <c r="C17" i="6"/>
  <c r="B20" i="6" s="1" a="1"/>
  <c r="B18" i="6"/>
  <c r="D33" i="5"/>
  <c r="B42" i="5"/>
  <c r="B40" i="5"/>
  <c r="B38" i="5"/>
  <c r="B36" i="5"/>
  <c r="B34" i="5"/>
  <c r="B32" i="5"/>
  <c r="C42" i="5"/>
  <c r="D42" i="5" s="1"/>
  <c r="C40" i="5"/>
  <c r="D40" i="5" s="1"/>
  <c r="C38" i="5"/>
  <c r="D38" i="5" s="1"/>
  <c r="C36" i="5"/>
  <c r="D36" i="5" s="1"/>
  <c r="C34" i="5"/>
  <c r="D34" i="5" s="1"/>
  <c r="C32" i="5"/>
  <c r="D32" i="5" s="1"/>
  <c r="B31" i="5"/>
  <c r="B41" i="5"/>
  <c r="B39" i="5"/>
  <c r="B37" i="5"/>
  <c r="B35" i="5"/>
  <c r="C31" i="5"/>
  <c r="D31" i="5" s="1"/>
  <c r="C41" i="5"/>
  <c r="D41" i="5" s="1"/>
  <c r="C39" i="5"/>
  <c r="D39" i="5" s="1"/>
  <c r="C37" i="5"/>
  <c r="D37" i="5" s="1"/>
  <c r="C35" i="5"/>
  <c r="D35" i="5" s="1"/>
  <c r="B19" i="5"/>
  <c r="B11" i="5"/>
  <c r="B17" i="5"/>
  <c r="B15" i="5"/>
  <c r="B13" i="5"/>
  <c r="B10" i="5"/>
  <c r="B18" i="5"/>
  <c r="B16" i="5"/>
  <c r="B14" i="5"/>
  <c r="I6" i="4"/>
  <c r="E10" i="4"/>
  <c r="G10" i="4" s="1"/>
  <c r="E8" i="4"/>
  <c r="G8" i="4" s="1"/>
  <c r="F11" i="4"/>
  <c r="H11" i="4" s="1"/>
  <c r="F9" i="4"/>
  <c r="H9" i="4" s="1"/>
  <c r="F7" i="4"/>
  <c r="H7" i="4" s="1"/>
  <c r="E11" i="4"/>
  <c r="G11" i="4" s="1"/>
  <c r="I11" i="4" s="1"/>
  <c r="E9" i="4"/>
  <c r="G9" i="4" s="1"/>
  <c r="E7" i="4"/>
  <c r="F10" i="4"/>
  <c r="H10" i="4" s="1"/>
  <c r="I10" i="4" s="1"/>
  <c r="F8" i="4"/>
  <c r="H8" i="4" s="1"/>
  <c r="E60" i="3"/>
  <c r="E58" i="3"/>
  <c r="E56" i="3"/>
  <c r="E54" i="3"/>
  <c r="E52" i="3"/>
  <c r="E61" i="3"/>
  <c r="E59" i="3"/>
  <c r="E57" i="3"/>
  <c r="E55" i="3"/>
  <c r="E53" i="3"/>
  <c r="E25" i="3"/>
  <c r="E23" i="3"/>
  <c r="E21" i="3"/>
  <c r="E19" i="3"/>
  <c r="E17" i="3"/>
  <c r="E15" i="3"/>
  <c r="E13" i="3"/>
  <c r="E24" i="3"/>
  <c r="E22" i="3"/>
  <c r="E20" i="3"/>
  <c r="E18" i="3"/>
  <c r="E16" i="3"/>
  <c r="E14" i="3"/>
  <c r="E12" i="3"/>
  <c r="G28" i="2"/>
  <c r="C28" i="2"/>
  <c r="D25" i="1"/>
  <c r="B19" i="1"/>
  <c r="D24" i="1"/>
  <c r="F24" i="1"/>
  <c r="E4" i="1"/>
  <c r="E5" i="1" s="1"/>
  <c r="F17" i="6" l="1"/>
  <c r="G18" i="6"/>
  <c r="F18" i="6"/>
  <c r="G17" i="6"/>
  <c r="B76" i="9"/>
  <c r="C78" i="9"/>
  <c r="B77" i="9"/>
  <c r="D78" i="9"/>
  <c r="C77" i="9"/>
  <c r="D77" i="9"/>
  <c r="C76" i="9"/>
  <c r="B78" i="9"/>
  <c r="D76" i="9"/>
  <c r="B20" i="6"/>
  <c r="C20" i="6"/>
  <c r="C21" i="6"/>
  <c r="B21" i="6"/>
  <c r="G7" i="4"/>
  <c r="I7" i="4" s="1"/>
  <c r="E11" i="13"/>
  <c r="E19" i="13" s="1" a="1"/>
  <c r="B15" i="13" a="1"/>
  <c r="B23" i="13"/>
  <c r="I9" i="4"/>
  <c r="C45" i="17" a="1"/>
  <c r="C45" i="17" s="1"/>
  <c r="D83" i="17"/>
  <c r="D80" i="17"/>
  <c r="D82" i="17"/>
  <c r="D89" i="17" s="1"/>
  <c r="H83" i="17"/>
  <c r="H80" i="17"/>
  <c r="H82" i="17"/>
  <c r="C82" i="17"/>
  <c r="C89" i="17" s="1"/>
  <c r="C83" i="17"/>
  <c r="C80" i="17"/>
  <c r="G74" i="17"/>
  <c r="B74" i="17"/>
  <c r="F74" i="17"/>
  <c r="J74" i="17"/>
  <c r="E74" i="17"/>
  <c r="I74" i="17"/>
  <c r="C30" i="16"/>
  <c r="C35" i="16" s="1"/>
  <c r="C40" i="16" s="1"/>
  <c r="A32" i="15"/>
  <c r="B38" i="15" s="1"/>
  <c r="A31" i="15"/>
  <c r="D39" i="15"/>
  <c r="C39" i="15"/>
  <c r="B39" i="15"/>
  <c r="B45" i="15" s="1"/>
  <c r="D38" i="15"/>
  <c r="D45" i="15" s="1"/>
  <c r="D51" i="15" s="1"/>
  <c r="C30" i="10"/>
  <c r="I21" i="10"/>
  <c r="J22" i="10"/>
  <c r="I22" i="10"/>
  <c r="C33" i="12"/>
  <c r="B26" i="12"/>
  <c r="B33" i="12" s="1"/>
  <c r="E26" i="12"/>
  <c r="E33" i="12" s="1"/>
  <c r="J20" i="10"/>
  <c r="H22" i="10"/>
  <c r="I20" i="10"/>
  <c r="C28" i="10"/>
  <c r="D28" i="10"/>
  <c r="B30" i="10"/>
  <c r="C29" i="10"/>
  <c r="D30" i="10"/>
  <c r="B82" i="9" a="1"/>
  <c r="B44" i="9" a="1"/>
  <c r="G14" i="9" a="1"/>
  <c r="G14" i="9" s="1"/>
  <c r="B32" i="9" a="1"/>
  <c r="B22" i="9" a="1"/>
  <c r="B22" i="9" s="1"/>
  <c r="B32" i="9"/>
  <c r="C34" i="9"/>
  <c r="B33" i="9"/>
  <c r="D34" i="9"/>
  <c r="C33" i="9"/>
  <c r="D33" i="9"/>
  <c r="C32" i="9"/>
  <c r="B34" i="9"/>
  <c r="D32" i="9"/>
  <c r="G15" i="9"/>
  <c r="B37" i="7" a="1"/>
  <c r="B37" i="7" s="1"/>
  <c r="I8" i="4"/>
  <c r="F7" i="1"/>
  <c r="D8" i="1"/>
  <c r="F8" i="1"/>
  <c r="D7" i="1"/>
  <c r="E19" i="13" l="1"/>
  <c r="E20" i="13"/>
  <c r="E21" i="13"/>
  <c r="E32" i="10" a="1"/>
  <c r="B15" i="13"/>
  <c r="B16" i="13"/>
  <c r="B17" i="13"/>
  <c r="F20" i="6" a="1"/>
  <c r="H89" i="17"/>
  <c r="C47" i="17"/>
  <c r="C46" i="17"/>
  <c r="C48" i="17"/>
  <c r="I82" i="17"/>
  <c r="I89" i="17" s="1"/>
  <c r="I83" i="17"/>
  <c r="I80" i="17"/>
  <c r="J83" i="17"/>
  <c r="J80" i="17"/>
  <c r="J82" i="17"/>
  <c r="J89" i="17" s="1"/>
  <c r="B82" i="17"/>
  <c r="B89" i="17" s="1"/>
  <c r="B83" i="17"/>
  <c r="B80" i="17"/>
  <c r="C95" i="17"/>
  <c r="C97" i="17"/>
  <c r="C94" i="17"/>
  <c r="D97" i="17"/>
  <c r="D94" i="17"/>
  <c r="D95" i="17"/>
  <c r="E82" i="17"/>
  <c r="E89" i="17" s="1"/>
  <c r="E83" i="17"/>
  <c r="E80" i="17"/>
  <c r="F83" i="17"/>
  <c r="F80" i="17"/>
  <c r="F82" i="17"/>
  <c r="F89" i="17" s="1"/>
  <c r="G82" i="17"/>
  <c r="G89" i="17" s="1"/>
  <c r="G83" i="17"/>
  <c r="G80" i="17"/>
  <c r="H97" i="17"/>
  <c r="H94" i="17"/>
  <c r="H95" i="17"/>
  <c r="C38" i="15"/>
  <c r="C45" i="15" s="1"/>
  <c r="C37" i="15"/>
  <c r="D37" i="15"/>
  <c r="B37" i="15"/>
  <c r="E32" i="10"/>
  <c r="G33" i="10"/>
  <c r="F32" i="10"/>
  <c r="E34" i="10"/>
  <c r="G32" i="10"/>
  <c r="F34" i="10"/>
  <c r="E33" i="10"/>
  <c r="G34" i="10"/>
  <c r="F33" i="10"/>
  <c r="H14" i="9"/>
  <c r="H15" i="9"/>
  <c r="B82" i="9"/>
  <c r="D83" i="9"/>
  <c r="C82" i="9"/>
  <c r="B84" i="9"/>
  <c r="D82" i="9"/>
  <c r="C84" i="9"/>
  <c r="B83" i="9"/>
  <c r="D84" i="9"/>
  <c r="C83" i="9"/>
  <c r="B44" i="9"/>
  <c r="C46" i="9"/>
  <c r="B45" i="9"/>
  <c r="D46" i="9"/>
  <c r="C45" i="9"/>
  <c r="D45" i="9"/>
  <c r="C44" i="9"/>
  <c r="B46" i="9"/>
  <c r="D44" i="9"/>
  <c r="B24" i="9"/>
  <c r="D23" i="9"/>
  <c r="D24" i="9"/>
  <c r="C24" i="9"/>
  <c r="D22" i="9"/>
  <c r="C22" i="9"/>
  <c r="C23" i="9"/>
  <c r="B23" i="9"/>
  <c r="G33" i="9"/>
  <c r="B36" i="9" a="1"/>
  <c r="D37" i="7"/>
  <c r="D39" i="7"/>
  <c r="B38" i="7"/>
  <c r="B40" i="7"/>
  <c r="E39" i="7"/>
  <c r="E37" i="7"/>
  <c r="C39" i="7"/>
  <c r="C37" i="7"/>
  <c r="B41" i="7" s="1" a="1"/>
  <c r="D38" i="7"/>
  <c r="D40" i="7"/>
  <c r="B39" i="7"/>
  <c r="E40" i="7"/>
  <c r="E38" i="7"/>
  <c r="C40" i="7"/>
  <c r="C38" i="7"/>
  <c r="F20" i="6" l="1"/>
  <c r="G21" i="6"/>
  <c r="F21" i="6"/>
  <c r="G20" i="6"/>
  <c r="E15" i="13"/>
  <c r="H19" i="13" s="1" a="1"/>
  <c r="E23" i="13"/>
  <c r="F97" i="17"/>
  <c r="F94" i="17"/>
  <c r="F95" i="17"/>
  <c r="B95" i="17"/>
  <c r="B97" i="17"/>
  <c r="B94" i="17"/>
  <c r="I95" i="17"/>
  <c r="I97" i="17"/>
  <c r="I94" i="17"/>
  <c r="G95" i="17"/>
  <c r="G97" i="17"/>
  <c r="G94" i="17"/>
  <c r="E95" i="17"/>
  <c r="E97" i="17"/>
  <c r="E104" i="17" s="1"/>
  <c r="E94" i="17"/>
  <c r="J97" i="17"/>
  <c r="J104" i="17" s="1"/>
  <c r="J94" i="17"/>
  <c r="J95" i="17"/>
  <c r="G44" i="9" a="1"/>
  <c r="G44" i="9" s="1"/>
  <c r="B48" i="9" a="1"/>
  <c r="B36" i="9"/>
  <c r="C36" i="9"/>
  <c r="C37" i="9"/>
  <c r="B37" i="9"/>
  <c r="B41" i="7"/>
  <c r="C44" i="7"/>
  <c r="C43" i="7"/>
  <c r="C42" i="7"/>
  <c r="C41" i="7"/>
  <c r="B44" i="7"/>
  <c r="B43" i="7"/>
  <c r="B42" i="7"/>
  <c r="E44" i="7"/>
  <c r="E43" i="7"/>
  <c r="E42" i="7"/>
  <c r="E41" i="7"/>
  <c r="D44" i="7"/>
  <c r="D43" i="7"/>
  <c r="D42" i="7"/>
  <c r="D41" i="7"/>
  <c r="H19" i="13" l="1"/>
  <c r="H20" i="13"/>
  <c r="H21" i="13"/>
  <c r="G104" i="17"/>
  <c r="C104" i="17"/>
  <c r="H104" i="17"/>
  <c r="J110" i="17"/>
  <c r="J108" i="17"/>
  <c r="J109" i="17"/>
  <c r="E109" i="17"/>
  <c r="E110" i="17"/>
  <c r="E108" i="17"/>
  <c r="D104" i="17"/>
  <c r="B104" i="17"/>
  <c r="F104" i="17"/>
  <c r="G109" i="17"/>
  <c r="G110" i="17"/>
  <c r="G108" i="17"/>
  <c r="C109" i="17"/>
  <c r="C110" i="17"/>
  <c r="C108" i="17"/>
  <c r="H110" i="17"/>
  <c r="H108" i="17"/>
  <c r="H109" i="17"/>
  <c r="I104" i="17"/>
  <c r="G36" i="9" a="1"/>
  <c r="G36" i="9" s="1"/>
  <c r="B48" i="9"/>
  <c r="C48" i="9"/>
  <c r="C49" i="9"/>
  <c r="B49" i="9"/>
  <c r="H23" i="13" l="1"/>
  <c r="I109" i="17"/>
  <c r="I110" i="17"/>
  <c r="I108" i="17"/>
  <c r="F110" i="17"/>
  <c r="F108" i="17"/>
  <c r="F109" i="17"/>
  <c r="D110" i="17"/>
  <c r="D108" i="17"/>
  <c r="D109" i="17"/>
  <c r="B109" i="17"/>
  <c r="B110" i="17"/>
  <c r="B108" i="17"/>
  <c r="G38" i="9"/>
  <c r="I37" i="9"/>
  <c r="I38" i="9"/>
  <c r="H38" i="9"/>
  <c r="I36" i="9"/>
  <c r="H36" i="9"/>
  <c r="H37" i="9"/>
  <c r="G37" i="9"/>
  <c r="B40" i="9" a="1"/>
  <c r="G48" i="9" a="1"/>
  <c r="G48" i="9" l="1"/>
  <c r="I49" i="9"/>
  <c r="H48" i="9"/>
  <c r="G50" i="9"/>
  <c r="I48" i="9"/>
  <c r="H50" i="9"/>
  <c r="G49" i="9"/>
  <c r="I50" i="9"/>
  <c r="H49" i="9"/>
  <c r="B40" i="9"/>
  <c r="C42" i="9"/>
  <c r="B41" i="9"/>
  <c r="D42" i="9"/>
  <c r="C41" i="9"/>
  <c r="D41" i="9"/>
  <c r="C40" i="9"/>
  <c r="B42" i="9"/>
  <c r="D40" i="9"/>
  <c r="B53" i="9" l="1" a="1"/>
  <c r="B58" i="9" a="1"/>
  <c r="B53" i="9" l="1"/>
  <c r="D54" i="9"/>
  <c r="C53" i="9"/>
  <c r="B55" i="9"/>
  <c r="D53" i="9"/>
  <c r="C55" i="9"/>
  <c r="B54" i="9"/>
  <c r="D55" i="9"/>
  <c r="C54" i="9"/>
  <c r="B58" i="9"/>
  <c r="D59" i="9"/>
  <c r="C58" i="9"/>
  <c r="B60" i="9"/>
  <c r="D58" i="9"/>
  <c r="C60" i="9"/>
  <c r="B59" i="9"/>
  <c r="D60" i="9"/>
  <c r="C59" i="9"/>
  <c r="B63" i="9" l="1" a="1"/>
  <c r="B63" i="9" s="1"/>
  <c r="D65" i="9" l="1"/>
  <c r="C65" i="9"/>
  <c r="B65" i="9"/>
  <c r="D64" i="9"/>
  <c r="C64" i="9"/>
  <c r="B64" i="9"/>
  <c r="D63" i="9"/>
  <c r="C63" i="9"/>
</calcChain>
</file>

<file path=xl/sharedStrings.xml><?xml version="1.0" encoding="utf-8"?>
<sst xmlns="http://schemas.openxmlformats.org/spreadsheetml/2006/main" count="412" uniqueCount="295">
  <si>
    <t>n</t>
  </si>
  <si>
    <r>
      <t xml:space="preserve">CI for </t>
    </r>
    <r>
      <rPr>
        <b/>
        <sz val="11"/>
        <color theme="1"/>
        <rFont val="Calibri"/>
        <family val="2"/>
      </rPr>
      <t>μ</t>
    </r>
  </si>
  <si>
    <r>
      <t xml:space="preserve">CI for </t>
    </r>
    <r>
      <rPr>
        <b/>
        <sz val="11"/>
        <color theme="1"/>
        <rFont val="Calibri"/>
        <family val="2"/>
      </rPr>
      <t>σ</t>
    </r>
    <r>
      <rPr>
        <b/>
        <vertAlign val="superscript"/>
        <sz val="11"/>
        <color theme="1"/>
        <rFont val="Calibri"/>
        <family val="2"/>
      </rPr>
      <t>2</t>
    </r>
  </si>
  <si>
    <t>≤ μ ≤</t>
  </si>
  <si>
    <r>
      <t>≤ σ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≤</t>
    </r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</si>
  <si>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</si>
  <si>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rPr>
        <b/>
        <sz val="11"/>
        <color theme="1"/>
        <rFont val="Calibri"/>
        <family val="2"/>
      </rPr>
      <t>Σ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</si>
  <si>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b/>
        <sz val="11"/>
        <color theme="1"/>
        <rFont val="Calibri"/>
        <family val="2"/>
      </rPr>
      <t>̄</t>
    </r>
  </si>
  <si>
    <r>
      <t>s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</si>
  <si>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χ</t>
    </r>
    <r>
      <rPr>
        <b/>
        <vertAlign val="superscript"/>
        <sz val="11"/>
        <color theme="1"/>
        <rFont val="Calibri"/>
        <family val="2"/>
      </rPr>
      <t>2</t>
    </r>
    <r>
      <rPr>
        <b/>
        <vertAlign val="subscript"/>
        <sz val="11"/>
        <color theme="1"/>
        <rFont val="Calibri"/>
        <family val="2"/>
      </rPr>
      <t>(0.025,14)</t>
    </r>
  </si>
  <si>
    <r>
      <t>χ</t>
    </r>
    <r>
      <rPr>
        <b/>
        <vertAlign val="superscript"/>
        <sz val="11"/>
        <color theme="1"/>
        <rFont val="Calibri"/>
        <family val="2"/>
      </rPr>
      <t>2</t>
    </r>
    <r>
      <rPr>
        <b/>
        <vertAlign val="subscript"/>
        <sz val="11"/>
        <color theme="1"/>
        <rFont val="Calibri"/>
        <family val="2"/>
      </rPr>
      <t>(0.975,14)</t>
    </r>
  </si>
  <si>
    <t>s</t>
  </si>
  <si>
    <t>Abhiram V Mamidipudi, Group-B, Inference Practical - 2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</si>
  <si>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</si>
  <si>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b/>
        <sz val="11"/>
        <color theme="1"/>
        <rFont val="Calibri"/>
        <family val="2"/>
      </rPr>
      <t>̄</t>
    </r>
    <r>
      <rPr>
        <b/>
        <vertAlign val="subscript"/>
        <sz val="11"/>
        <color theme="1"/>
        <rFont val="Calibri"/>
        <family val="2"/>
      </rPr>
      <t>1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</si>
  <si>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</si>
  <si>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</si>
  <si>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b/>
        <sz val="11"/>
        <color theme="1"/>
        <rFont val="Calibri"/>
        <family val="2"/>
      </rPr>
      <t>̄</t>
    </r>
    <r>
      <rPr>
        <b/>
        <vertAlign val="subscript"/>
        <sz val="11"/>
        <color theme="1"/>
        <rFont val="Calibri"/>
        <family val="2"/>
      </rPr>
      <t>2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</si>
  <si>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</si>
  <si>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S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</si>
  <si>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</si>
  <si>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</si>
  <si>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+n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-2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</si>
  <si>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(0.025,14)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</si>
  <si>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(0.025,33)</t>
    </r>
  </si>
  <si>
    <r>
      <t>x</t>
    </r>
    <r>
      <rPr>
        <b/>
        <sz val="11"/>
        <color theme="1"/>
        <rFont val="Calibri"/>
        <family val="2"/>
      </rPr>
      <t>̄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>-x̄</t>
    </r>
    <r>
      <rPr>
        <b/>
        <vertAlign val="subscript"/>
        <sz val="11"/>
        <color theme="1"/>
        <rFont val="Calibri"/>
        <family val="2"/>
      </rPr>
      <t>2</t>
    </r>
  </si>
  <si>
    <r>
      <t>CI for (</t>
    </r>
    <r>
      <rPr>
        <b/>
        <sz val="11"/>
        <color theme="1"/>
        <rFont val="Calibri"/>
        <family val="2"/>
      </rPr>
      <t>μ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>-μ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)</t>
    </r>
  </si>
  <si>
    <r>
      <t>≤ (μ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 ≤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</si>
  <si>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(0.025,14,19)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</si>
  <si>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(0.975,14,19)</t>
    </r>
  </si>
  <si>
    <r>
      <t>≤ σ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/σ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≤ </t>
    </r>
  </si>
  <si>
    <r>
      <t xml:space="preserve">95% CI for </t>
    </r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>/σ</t>
    </r>
    <r>
      <rPr>
        <b/>
        <vertAlign val="subscript"/>
        <sz val="11"/>
        <color theme="1"/>
        <rFont val="Calibri"/>
        <family val="2"/>
      </rPr>
      <t>2</t>
    </r>
  </si>
  <si>
    <r>
      <t xml:space="preserve">90% CI for </t>
    </r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>/σ</t>
    </r>
    <r>
      <rPr>
        <b/>
        <vertAlign val="subscript"/>
        <sz val="11"/>
        <color theme="1"/>
        <rFont val="Calibri"/>
        <family val="2"/>
      </rPr>
      <t>2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</si>
  <si>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(0.05,14,19)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</si>
  <si>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(0.95,14,19)</t>
    </r>
  </si>
  <si>
    <t>i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</si>
  <si>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</si>
  <si>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l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</si>
  <si>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(</t>
    </r>
    <r>
      <rPr>
        <b/>
        <vertAlign val="subscript"/>
        <sz val="11"/>
        <color theme="1"/>
        <rFont val="Calibri"/>
        <family val="2"/>
      </rPr>
      <t>α/2)</t>
    </r>
  </si>
  <si>
    <t>α</t>
  </si>
  <si>
    <t>1-α</t>
  </si>
  <si>
    <t>Confidence coefficient is 0.5332</t>
  </si>
  <si>
    <t>Abhiram V Mamidipudi, Group B, Inference Practical - 4</t>
  </si>
  <si>
    <r>
      <t>σ</t>
    </r>
    <r>
      <rPr>
        <b/>
        <vertAlign val="superscript"/>
        <sz val="11"/>
        <color theme="1"/>
        <rFont val="Calibri"/>
        <family val="2"/>
      </rPr>
      <t>2</t>
    </r>
  </si>
  <si>
    <t>σ</t>
  </si>
  <si>
    <t>(i)</t>
  </si>
  <si>
    <r>
      <t>H</t>
    </r>
    <r>
      <rPr>
        <b/>
        <vertAlign val="subscript"/>
        <sz val="11"/>
        <color theme="1"/>
        <rFont val="Calibri"/>
        <family val="2"/>
      </rPr>
      <t>o</t>
    </r>
    <r>
      <rPr>
        <b/>
        <sz val="11"/>
        <color theme="1"/>
        <rFont val="Calibri"/>
        <family val="2"/>
      </rPr>
      <t>: μ</t>
    </r>
    <r>
      <rPr>
        <b/>
        <vertAlign val="subscript"/>
        <sz val="11"/>
        <color theme="1"/>
        <rFont val="Calibri"/>
        <family val="2"/>
      </rPr>
      <t xml:space="preserve">o </t>
    </r>
    <r>
      <rPr>
        <b/>
        <sz val="11"/>
        <color theme="1"/>
        <rFont val="Calibri"/>
        <family val="2"/>
      </rPr>
      <t>=</t>
    </r>
  </si>
  <si>
    <t>(ii)</t>
  </si>
  <si>
    <r>
      <t>vs H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>: μ</t>
    </r>
    <r>
      <rPr>
        <b/>
        <vertAlign val="subscript"/>
        <sz val="11"/>
        <color theme="1"/>
        <rFont val="Calibri"/>
        <family val="2"/>
      </rPr>
      <t xml:space="preserve">1 </t>
    </r>
    <r>
      <rPr>
        <b/>
        <sz val="11"/>
        <color theme="1"/>
        <rFont val="Calibri"/>
        <family val="2"/>
      </rPr>
      <t>=</t>
    </r>
  </si>
  <si>
    <r>
      <t>Z</t>
    </r>
    <r>
      <rPr>
        <b/>
        <vertAlign val="subscript"/>
        <sz val="11"/>
        <color theme="1"/>
        <rFont val="Calibri"/>
        <family val="2"/>
      </rPr>
      <t>α</t>
    </r>
  </si>
  <si>
    <t>BCR :</t>
  </si>
  <si>
    <r>
      <t>x</t>
    </r>
    <r>
      <rPr>
        <b/>
        <sz val="11"/>
        <color theme="1"/>
        <rFont val="Calibri"/>
        <family val="2"/>
      </rPr>
      <t>̄ ≥</t>
    </r>
  </si>
  <si>
    <r>
      <t>x</t>
    </r>
    <r>
      <rPr>
        <b/>
        <sz val="11"/>
        <color theme="1"/>
        <rFont val="Calibri"/>
        <family val="2"/>
      </rPr>
      <t>̄ ≤</t>
    </r>
  </si>
  <si>
    <t>k</t>
  </si>
  <si>
    <t>Power :</t>
  </si>
  <si>
    <r>
      <t>1-</t>
    </r>
    <r>
      <rPr>
        <b/>
        <sz val="11"/>
        <color theme="1"/>
        <rFont val="Calibri"/>
        <family val="2"/>
      </rPr>
      <t>β</t>
    </r>
  </si>
  <si>
    <r>
      <t>H</t>
    </r>
    <r>
      <rPr>
        <b/>
        <vertAlign val="subscript"/>
        <sz val="11"/>
        <color theme="1"/>
        <rFont val="Calibri"/>
        <family val="2"/>
      </rPr>
      <t>o</t>
    </r>
    <r>
      <rPr>
        <b/>
        <sz val="11"/>
        <color theme="1"/>
        <rFont val="Calibri"/>
        <family val="2"/>
      </rPr>
      <t xml:space="preserve"> : θ =</t>
    </r>
  </si>
  <si>
    <r>
      <t>vs H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 xml:space="preserve"> : θ &gt;</t>
    </r>
  </si>
  <si>
    <r>
      <t>χ</t>
    </r>
    <r>
      <rPr>
        <b/>
        <vertAlign val="superscript"/>
        <sz val="11"/>
        <color theme="1"/>
        <rFont val="Calibri"/>
        <family val="2"/>
      </rPr>
      <t>2</t>
    </r>
    <r>
      <rPr>
        <b/>
        <vertAlign val="subscript"/>
        <sz val="11"/>
        <color theme="1"/>
        <rFont val="Calibri"/>
        <family val="2"/>
      </rPr>
      <t>(0.95,10)</t>
    </r>
  </si>
  <si>
    <t>UMPCR :</t>
  </si>
  <si>
    <r>
      <t>Σx</t>
    </r>
    <r>
      <rPr>
        <b/>
        <vertAlign val="subscript"/>
        <sz val="11"/>
        <color theme="1"/>
        <rFont val="Calibri"/>
        <family val="2"/>
      </rPr>
      <t>i</t>
    </r>
    <r>
      <rPr>
        <b/>
        <sz val="11"/>
        <color theme="1"/>
        <rFont val="Calibri"/>
        <family val="2"/>
      </rPr>
      <t xml:space="preserve"> ≤</t>
    </r>
  </si>
  <si>
    <r>
      <t>θ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</si>
  <si>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Power</t>
  </si>
  <si>
    <r>
      <t>vs H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 xml:space="preserve"> : θ &lt;</t>
    </r>
  </si>
  <si>
    <r>
      <t>χ</t>
    </r>
    <r>
      <rPr>
        <b/>
        <vertAlign val="superscript"/>
        <sz val="11"/>
        <color theme="1"/>
        <rFont val="Calibri"/>
        <family val="2"/>
      </rPr>
      <t>2</t>
    </r>
    <r>
      <rPr>
        <b/>
        <vertAlign val="subscript"/>
        <sz val="11"/>
        <color theme="1"/>
        <rFont val="Calibri"/>
        <family val="2"/>
      </rPr>
      <t>(0.05,10)</t>
    </r>
  </si>
  <si>
    <r>
      <t>Σx</t>
    </r>
    <r>
      <rPr>
        <b/>
        <vertAlign val="subscript"/>
        <sz val="11"/>
        <color theme="1"/>
        <rFont val="Calibri"/>
        <family val="2"/>
      </rPr>
      <t>i</t>
    </r>
    <r>
      <rPr>
        <b/>
        <sz val="11"/>
        <color theme="1"/>
        <rFont val="Calibri"/>
        <family val="2"/>
      </rPr>
      <t xml:space="preserve"> ≥</t>
    </r>
  </si>
  <si>
    <t>vs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</si>
  <si>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</rPr>
      <t>θ</t>
    </r>
    <r>
      <rPr>
        <b/>
        <sz val="11"/>
        <color theme="1"/>
        <rFont val="Calibri"/>
        <family val="2"/>
      </rPr>
      <t xml:space="preserve"> =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</si>
  <si>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</rPr>
      <t>θ ≠</t>
    </r>
  </si>
  <si>
    <r>
      <t>Z</t>
    </r>
    <r>
      <rPr>
        <b/>
        <vertAlign val="subscript"/>
        <sz val="11"/>
        <color theme="1"/>
        <rFont val="Calibri"/>
        <family val="2"/>
      </rPr>
      <t>α/2</t>
    </r>
  </si>
  <si>
    <t>θ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</si>
  <si>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</si>
  <si>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</si>
  <si>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(θ)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</si>
  <si>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(θ)</t>
    </r>
  </si>
  <si>
    <t>v/s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</si>
  <si>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</rPr>
      <t>θ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 xml:space="preserve"> &gt;</t>
    </r>
  </si>
  <si>
    <t>α =</t>
  </si>
  <si>
    <t>n =</t>
  </si>
  <si>
    <t>k=</t>
  </si>
  <si>
    <t>Abhiram V Mamidipudi, Group B, Inference Practical-8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</si>
  <si>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</rPr>
      <t>σ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=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</si>
  <si>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: </t>
    </r>
    <r>
      <rPr>
        <b/>
        <sz val="11"/>
        <color theme="1"/>
        <rFont val="Calibri"/>
        <family val="2"/>
      </rPr>
      <t>σ</t>
    </r>
    <r>
      <rPr>
        <b/>
        <vertAlign val="super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≠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</si>
  <si>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(n)</t>
    </r>
    <r>
      <rPr>
        <sz val="11"/>
        <color theme="1"/>
        <rFont val="Calibri"/>
        <family val="2"/>
      </rPr>
      <t>(α/2)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</si>
  <si>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(n)</t>
    </r>
    <r>
      <rPr>
        <sz val="11"/>
        <color theme="1"/>
        <rFont val="Calibri"/>
        <family val="2"/>
      </rPr>
      <t>(1-α/2)</t>
    </r>
  </si>
  <si>
    <r>
      <t>σ</t>
    </r>
    <r>
      <rPr>
        <b/>
        <vertAlign val="subscript"/>
        <sz val="11"/>
        <color theme="1"/>
        <rFont val="Calibri"/>
        <family val="2"/>
      </rPr>
      <t>1</t>
    </r>
    <r>
      <rPr>
        <b/>
        <vertAlign val="superscript"/>
        <sz val="11"/>
        <color theme="1"/>
        <rFont val="Calibri"/>
        <family val="2"/>
      </rPr>
      <t>2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</si>
  <si>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</si>
  <si>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</si>
  <si>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k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=</t>
    </r>
  </si>
  <si>
    <r>
      <t>k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=</t>
    </r>
  </si>
  <si>
    <t>A =</t>
  </si>
  <si>
    <t>X =</t>
  </si>
  <si>
    <t>Y =</t>
  </si>
  <si>
    <t>Z =</t>
  </si>
  <si>
    <t>W =</t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</si>
  <si>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</si>
  <si>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r>
      <t>|B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| =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</si>
  <si>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</si>
  <si>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</si>
  <si>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</si>
  <si>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</si>
  <si>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</t>
    </r>
  </si>
  <si>
    <r>
      <t>AA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A =</t>
    </r>
  </si>
  <si>
    <t>VERIFICATION</t>
  </si>
  <si>
    <r>
      <t>Therefore,  we get AA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A = A</t>
    </r>
  </si>
  <si>
    <t>|A| =</t>
  </si>
  <si>
    <r>
      <t>M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=</t>
    </r>
  </si>
  <si>
    <r>
      <t>|M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|=</t>
    </r>
  </si>
  <si>
    <r>
      <t>M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= M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</si>
  <si>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= M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=</t>
    </r>
  </si>
  <si>
    <r>
      <t>M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=M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=</t>
    </r>
  </si>
  <si>
    <r>
      <t>M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=</t>
    </r>
  </si>
  <si>
    <r>
      <t>|M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| =</t>
    </r>
  </si>
  <si>
    <r>
      <t>M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=M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=</t>
    </r>
  </si>
  <si>
    <r>
      <t>M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=M</t>
    </r>
    <r>
      <rPr>
        <vertAlign val="subscript"/>
        <sz val="11"/>
        <color theme="1"/>
        <rFont val="Calibri"/>
        <family val="2"/>
        <scheme val="minor"/>
      </rPr>
      <t>42</t>
    </r>
  </si>
  <si>
    <r>
      <t>|M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| =</t>
    </r>
  </si>
  <si>
    <r>
      <t>M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 =M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=</t>
    </r>
  </si>
  <si>
    <r>
      <t>M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</si>
  <si>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=</t>
    </r>
  </si>
  <si>
    <r>
      <t>|M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|= |M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|=</t>
    </r>
  </si>
  <si>
    <r>
      <t>|M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|=|M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|=</t>
    </r>
  </si>
  <si>
    <r>
      <t>|M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|=|M</t>
    </r>
    <r>
      <rPr>
        <vertAlign val="sub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|=</t>
    </r>
  </si>
  <si>
    <r>
      <t>|M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|=|M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>|=</t>
    </r>
  </si>
  <si>
    <r>
      <t>|M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| =</t>
    </r>
  </si>
  <si>
    <r>
      <t>|M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|= |M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|=</t>
    </r>
  </si>
  <si>
    <r>
      <t>|M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|=|M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|=</t>
    </r>
  </si>
  <si>
    <t>Adj (A) =</t>
  </si>
  <si>
    <t>= A</t>
  </si>
  <si>
    <r>
      <t>A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=</t>
    </r>
  </si>
  <si>
    <t>R1</t>
  </si>
  <si>
    <t>R1-&gt;R1/24.5229; R2-&gt;R2/23.0822; 
R3-&gt;R3/9.9457; R4-&gt;R4/22.186</t>
  </si>
  <si>
    <t xml:space="preserve">X = </t>
  </si>
  <si>
    <t>|X|=</t>
  </si>
  <si>
    <t>(i) Generalized Inverse</t>
  </si>
  <si>
    <t>G=</t>
  </si>
  <si>
    <t xml:space="preserve"> '</t>
  </si>
  <si>
    <t xml:space="preserve"> =</t>
  </si>
  <si>
    <t>XGX =</t>
  </si>
  <si>
    <t xml:space="preserve"> = X</t>
  </si>
  <si>
    <t>(ii) Moore-Penrose Generalized Inverse</t>
  </si>
  <si>
    <t xml:space="preserve">X* = </t>
  </si>
  <si>
    <t>XX* =</t>
  </si>
  <si>
    <t>|XX*|=</t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</si>
  <si>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</t>
    </r>
  </si>
  <si>
    <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w </t>
    </r>
    <r>
      <rPr>
        <sz val="11"/>
        <color theme="1"/>
        <rFont val="Calibri"/>
        <family val="2"/>
        <scheme val="minor"/>
      </rPr>
      <t>=XG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</t>
    </r>
  </si>
  <si>
    <r>
      <t>XX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X=</t>
    </r>
  </si>
  <si>
    <t xml:space="preserve"> =X</t>
  </si>
  <si>
    <t>Now,</t>
  </si>
  <si>
    <t>X*X =</t>
  </si>
  <si>
    <t>|X*X| =</t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</si>
  <si>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</t>
    </r>
  </si>
  <si>
    <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n </t>
    </r>
    <r>
      <rPr>
        <sz val="11"/>
        <color theme="1"/>
        <rFont val="Calibri"/>
        <family val="2"/>
        <scheme val="minor"/>
      </rPr>
      <t>=G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X=</t>
    </r>
  </si>
  <si>
    <r>
      <t>XX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X=</t>
    </r>
  </si>
  <si>
    <r>
      <t>G=X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XX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=</t>
    </r>
  </si>
  <si>
    <t xml:space="preserve">XGX = </t>
  </si>
  <si>
    <t>(iiI) Reflexive Generalized Inverse</t>
  </si>
  <si>
    <r>
      <t>X</t>
    </r>
    <r>
      <rPr>
        <vertAlign val="superscript"/>
        <sz val="11"/>
        <color theme="1"/>
        <rFont val="Calibri"/>
        <family val="2"/>
        <scheme val="minor"/>
      </rPr>
      <t>g1</t>
    </r>
    <r>
      <rPr>
        <sz val="11"/>
        <color theme="1"/>
        <rFont val="Calibri"/>
        <family val="2"/>
        <scheme val="minor"/>
      </rPr>
      <t>=</t>
    </r>
  </si>
  <si>
    <r>
      <t>X</t>
    </r>
    <r>
      <rPr>
        <vertAlign val="superscript"/>
        <sz val="11"/>
        <color theme="1"/>
        <rFont val="Calibri"/>
        <family val="2"/>
        <scheme val="minor"/>
      </rPr>
      <t>g2</t>
    </r>
    <r>
      <rPr>
        <sz val="11"/>
        <color theme="1"/>
        <rFont val="Calibri"/>
        <family val="2"/>
        <scheme val="minor"/>
      </rPr>
      <t>=</t>
    </r>
  </si>
  <si>
    <r>
      <t>X</t>
    </r>
    <r>
      <rPr>
        <vertAlign val="super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=X</t>
    </r>
    <r>
      <rPr>
        <vertAlign val="superscript"/>
        <sz val="11"/>
        <color theme="1"/>
        <rFont val="Calibri"/>
        <family val="2"/>
        <scheme val="minor"/>
      </rPr>
      <t>g1</t>
    </r>
    <r>
      <rPr>
        <sz val="11"/>
        <color theme="1"/>
        <rFont val="Calibri"/>
        <family val="2"/>
        <scheme val="minor"/>
      </rPr>
      <t>XX</t>
    </r>
    <r>
      <rPr>
        <vertAlign val="superscript"/>
        <sz val="11"/>
        <color theme="1"/>
        <rFont val="Calibri"/>
        <family val="2"/>
        <scheme val="minor"/>
      </rPr>
      <t>g2</t>
    </r>
    <r>
      <rPr>
        <sz val="11"/>
        <color theme="1"/>
        <rFont val="Calibri"/>
        <family val="2"/>
        <scheme val="minor"/>
      </rPr>
      <t>=</t>
    </r>
  </si>
  <si>
    <t xml:space="preserve"> =&gt;</t>
  </si>
  <si>
    <r>
      <t>ρ(X</t>
    </r>
    <r>
      <rPr>
        <vertAlign val="superscript"/>
        <sz val="11"/>
        <color theme="1"/>
        <rFont val="Calibri"/>
        <family val="2"/>
      </rPr>
      <t>r</t>
    </r>
    <r>
      <rPr>
        <sz val="11"/>
        <color theme="1"/>
        <rFont val="Calibri"/>
        <family val="2"/>
      </rPr>
      <t>) =</t>
    </r>
  </si>
  <si>
    <t>and</t>
  </si>
  <si>
    <r>
      <t>ρ(X</t>
    </r>
    <r>
      <rPr>
        <sz val="11"/>
        <color theme="1"/>
        <rFont val="Calibri"/>
        <family val="2"/>
      </rPr>
      <t>) =</t>
    </r>
  </si>
  <si>
    <t>XXrX =</t>
  </si>
  <si>
    <r>
      <t>Thus, ρ(X</t>
    </r>
    <r>
      <rPr>
        <vertAlign val="superscript"/>
        <sz val="11"/>
        <color theme="1"/>
        <rFont val="Calibri"/>
        <family val="2"/>
      </rPr>
      <t>r</t>
    </r>
    <r>
      <rPr>
        <sz val="11"/>
        <color theme="1"/>
        <rFont val="Calibri"/>
        <family val="2"/>
      </rPr>
      <t>) = ρ(X). Hence, condition(i) verified.</t>
    </r>
  </si>
  <si>
    <r>
      <t>M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</si>
  <si>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</si>
  <si>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M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=</t>
    </r>
  </si>
  <si>
    <r>
      <t>(M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)'=</t>
    </r>
  </si>
  <si>
    <t xml:space="preserve"> '    =</t>
  </si>
  <si>
    <t xml:space="preserve"> Hence, condition(ii) verified.</t>
  </si>
  <si>
    <t>A=</t>
  </si>
  <si>
    <r>
      <t xml:space="preserve">Characteristic Equation : </t>
    </r>
    <r>
      <rPr>
        <sz val="11"/>
        <color theme="1"/>
        <rFont val="Calibri"/>
        <family val="2"/>
      </rPr>
      <t>λ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-7λ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+11λ-5 = 0</t>
    </r>
  </si>
  <si>
    <r>
      <t xml:space="preserve">By Cayley-Hamilton Theorem : </t>
    </r>
    <r>
      <rPr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-7A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+11A-5I = 0</t>
    </r>
  </si>
  <si>
    <r>
      <rPr>
        <u/>
        <sz val="11"/>
        <color theme="1"/>
        <rFont val="Calibri"/>
        <family val="2"/>
        <scheme val="minor"/>
      </rPr>
      <t>(A</t>
    </r>
    <r>
      <rPr>
        <u/>
        <vertAlign val="superscript"/>
        <sz val="11"/>
        <color theme="1"/>
        <rFont val="Calibri"/>
        <family val="2"/>
        <scheme val="minor"/>
      </rPr>
      <t>2</t>
    </r>
    <r>
      <rPr>
        <u/>
        <sz val="11"/>
        <color theme="1"/>
        <rFont val="Calibri"/>
        <family val="2"/>
        <scheme val="minor"/>
      </rPr>
      <t>-7A+11I)</t>
    </r>
    <r>
      <rPr>
        <sz val="11"/>
        <color theme="1"/>
        <rFont val="Calibri"/>
        <family val="2"/>
        <scheme val="minor"/>
      </rPr>
      <t xml:space="preserve">
5</t>
    </r>
  </si>
  <si>
    <t xml:space="preserve"> -</t>
  </si>
  <si>
    <t>+</t>
  </si>
  <si>
    <t>Here, I=</t>
  </si>
  <si>
    <t xml:space="preserve"> =A</t>
  </si>
  <si>
    <t>Verification of Theorem</t>
  </si>
  <si>
    <t>-</t>
  </si>
  <si>
    <t xml:space="preserve">LHS = </t>
  </si>
  <si>
    <t xml:space="preserve"> = </t>
  </si>
  <si>
    <t xml:space="preserve"> = RHS</t>
  </si>
  <si>
    <t>Eigen Values : 1,1,5</t>
  </si>
  <si>
    <r>
      <t xml:space="preserve">Eigen Vectors Corresponding to  </t>
    </r>
    <r>
      <rPr>
        <sz val="11"/>
        <color theme="1"/>
        <rFont val="Calibri"/>
        <family val="2"/>
      </rPr>
      <t>λ =1</t>
    </r>
  </si>
  <si>
    <r>
      <t xml:space="preserve">Eigen Vectors Corresponding to  </t>
    </r>
    <r>
      <rPr>
        <sz val="11"/>
        <color theme="1"/>
        <rFont val="Calibri"/>
        <family val="2"/>
      </rPr>
      <t>λ =5</t>
    </r>
  </si>
  <si>
    <t>Verification of Inverse -&gt;</t>
  </si>
  <si>
    <t>B =</t>
  </si>
  <si>
    <t>R2-&gt;R2-0.5622/4.735*R1 ; R3-&gt;R3-1.4685/4.735*R1; 
R4-&gt;R4+2.55/4.735*R1</t>
  </si>
  <si>
    <t>R3-&gt;R3-0.43/0.0745*R2 ; R4-&gt;R4-0.7028/0.0745*R2</t>
  </si>
  <si>
    <t>R4-&gt;R4-0.4051/0.0899*R3</t>
  </si>
  <si>
    <t xml:space="preserve">Therefore, </t>
  </si>
  <si>
    <t>D =</t>
  </si>
  <si>
    <t>U =</t>
  </si>
  <si>
    <t>d =</t>
  </si>
  <si>
    <t>Quad form = -d =</t>
  </si>
  <si>
    <t>Verification -&gt;</t>
  </si>
  <si>
    <r>
      <t>(X'A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X )=</t>
    </r>
  </si>
  <si>
    <t xml:space="preserve"> = -d</t>
  </si>
  <si>
    <t>Hence Proved</t>
  </si>
  <si>
    <r>
      <t>a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=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</si>
  <si>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=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</si>
  <si>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=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</si>
  <si>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=</t>
    </r>
  </si>
  <si>
    <r>
      <t>||v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||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=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</si>
  <si>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 xml:space="preserve">2 </t>
    </r>
    <r>
      <rPr>
        <b/>
        <sz val="11"/>
        <color theme="1"/>
        <rFont val="Calibri"/>
        <family val="2"/>
        <scheme val="minor"/>
      </rPr>
      <t>=</t>
    </r>
  </si>
  <si>
    <r>
      <t>||v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||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=</t>
    </r>
  </si>
  <si>
    <r>
      <t>v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=</t>
    </r>
  </si>
  <si>
    <r>
      <t>||v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||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=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</si>
  <si>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=</t>
    </r>
  </si>
  <si>
    <r>
      <t>||w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|| =</t>
    </r>
  </si>
  <si>
    <r>
      <t>||w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||=</t>
    </r>
  </si>
  <si>
    <r>
      <t>w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=</t>
    </r>
  </si>
  <si>
    <r>
      <t>||w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||=</t>
    </r>
  </si>
  <si>
    <t>A(x,x) =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</si>
  <si>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+x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+x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</si>
  <si>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A</t>
  </si>
  <si>
    <t xml:space="preserve"> = I'AI</t>
  </si>
  <si>
    <t>R1-&gt;R1+R2</t>
  </si>
  <si>
    <t>C1-&gt;C1+C2</t>
  </si>
  <si>
    <t>R2-&gt;R2-0.5*R1 ; R3-&gt;R3-R1 ; R4-&gt;R4-R1</t>
  </si>
  <si>
    <t>C2-&gt;C2-0.5*C1 ; C3-&gt;C3-C1 ; C4-&gt;C4-C1</t>
  </si>
  <si>
    <t>R4-&gt;R4-0.5*R3</t>
  </si>
  <si>
    <t>C4-&gt;C4-0.5*C3</t>
  </si>
  <si>
    <t>Canonical Form :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</si>
  <si>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-0.25y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-y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-0.75y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</si>
  <si>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Rank(A) :</t>
  </si>
  <si>
    <t>Index of A(x,x) :</t>
  </si>
  <si>
    <t>Signature of A(x,x) :</t>
  </si>
  <si>
    <t>R2-&gt;R2+R1 ; R3-&gt;R3-0.5*R1</t>
  </si>
  <si>
    <t>C2-&gt;C2+C1 ; C3-&gt;C3-0.5*C1</t>
  </si>
  <si>
    <t>R3-&gt;R3+0.5*R2</t>
  </si>
  <si>
    <t>C3-&gt;C3+0.5*C2</t>
  </si>
  <si>
    <t>Canonical Form is :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</si>
  <si>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+y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+y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</si>
  <si>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Rank(A) = n = 3 = r</t>
  </si>
  <si>
    <t>Index = n =3</t>
  </si>
  <si>
    <t>Hence, the given quadratic form is positive definite</t>
  </si>
  <si>
    <r>
      <t>R3-&gt;R3/</t>
    </r>
    <r>
      <rPr>
        <b/>
        <sz val="11"/>
        <color theme="1"/>
        <rFont val="Calibri"/>
        <family val="2"/>
      </rPr>
      <t>√1.5</t>
    </r>
  </si>
  <si>
    <r>
      <t>C3-&gt;C3/</t>
    </r>
    <r>
      <rPr>
        <b/>
        <sz val="11"/>
        <color theme="1"/>
        <rFont val="Calibri"/>
        <family val="2"/>
      </rPr>
      <t>√1.5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</si>
  <si>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+2x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+2x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-2x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-2x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+x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3</t>
    </r>
  </si>
  <si>
    <t>b =</t>
  </si>
  <si>
    <t>D = |A| =</t>
  </si>
  <si>
    <t>Thus,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</si>
  <si>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</si>
  <si>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=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</si>
  <si>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</si>
  <si>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</t>
    </r>
  </si>
  <si>
    <r>
      <t>|D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| =</t>
    </r>
  </si>
  <si>
    <r>
      <t>|D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| =</t>
    </r>
  </si>
  <si>
    <r>
      <t>|D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| =</t>
    </r>
  </si>
  <si>
    <r>
      <t>|D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| =</t>
    </r>
  </si>
  <si>
    <t>≠ 0, So inverse exists.</t>
  </si>
  <si>
    <r>
      <t>X = 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b =</t>
    </r>
  </si>
  <si>
    <t>(i) Cramer Rule -</t>
  </si>
  <si>
    <t>(ii) Matrix Inverse Method -</t>
  </si>
  <si>
    <t xml:space="preserve">C = </t>
  </si>
  <si>
    <t xml:space="preserve">R1-&gt;R1/5.07 </t>
  </si>
  <si>
    <t>R2-&gt;R2-1.21*R1 ; R3-&gt;R3+3.22*R1 ; R4-&gt;R4-1.18*R1</t>
  </si>
  <si>
    <t>R2-&gt;R2/8.188679</t>
  </si>
  <si>
    <t>R1-&gt;R1-0.629*R2 ; R3-&gt;R3+2.634*R2 ; R4-&gt;R4-5.977*R2</t>
  </si>
  <si>
    <t>R3-&gt;R3/11.88</t>
  </si>
  <si>
    <t>R1-&gt;R1-0.34339*R3 ; R2-&gt;R2-0.1815*R3 ; R4-&gt;R4+2.284*R3</t>
  </si>
  <si>
    <t>R4-&gt;R4/7.401</t>
  </si>
  <si>
    <t>R1-&gt;R1+0.073*R4 ; R2-&gt;R2-0.4245*R4 ; R3-&gt;R30.382*R4</t>
  </si>
  <si>
    <t>~</t>
  </si>
  <si>
    <t xml:space="preserve">i.e., </t>
  </si>
  <si>
    <t>(In|U|V)</t>
  </si>
  <si>
    <r>
      <t>U= A</t>
    </r>
    <r>
      <rPr>
        <vertAlign val="superscript"/>
        <sz val="11"/>
        <color theme="1"/>
        <rFont val="Calibri"/>
        <family val="2"/>
        <scheme val="minor"/>
      </rPr>
      <t>-1</t>
    </r>
  </si>
  <si>
    <t>&amp;</t>
  </si>
  <si>
    <t xml:space="preserve">where </t>
  </si>
  <si>
    <t>V = X =</t>
  </si>
  <si>
    <t>(iii) Gauss Pivotal Condensation Method -</t>
  </si>
  <si>
    <t>; b =</t>
  </si>
  <si>
    <t>; X =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</si>
  <si>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</si>
  <si>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</si>
  <si>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</si>
  <si>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</si>
  <si>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Aritra Biswas,Group C, Inference Practical-18</t>
  </si>
  <si>
    <t>Aritra Biswas,Group C, Inference Practical-17</t>
  </si>
  <si>
    <t>Aritra Biswas,Group C, Inference Practical-16</t>
  </si>
  <si>
    <t>Aritra Biswas,Group C, Inference Practical-15</t>
  </si>
  <si>
    <t>Aritra Biswas,Group C, Inference Practical-14</t>
  </si>
  <si>
    <t>Aritra Biswas,Group C, Inference Practical-13</t>
  </si>
  <si>
    <t>Aritra Biswas,Group C, Inference Practical-12</t>
  </si>
  <si>
    <t>Aritra Biswas,Group C, Inference Practical-11</t>
  </si>
  <si>
    <t>Aritra Biswas,Group C, Inference Practical-10</t>
  </si>
  <si>
    <t>Aritra Biswas,Group C, Inference Practical-9</t>
  </si>
  <si>
    <t>Aritra Biswas,Group C, Inference Practical-7</t>
  </si>
  <si>
    <t>Aritra Biswas,Group C, Inference Practical-6</t>
  </si>
  <si>
    <t>Aritra Biswas,Group C, Inference Practical - 5</t>
  </si>
  <si>
    <t>Aritra Biswas,Group C, Inference Practical - 3</t>
  </si>
  <si>
    <t>Aritra Biswas,Group C, Inference Practical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</si>
</sst>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Curve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Power</c:v>
          </c:tx>
          <c:cat>
            <c:numRef>
              <c:f>[1]Sheet1!$D$12:$D$25</c:f>
              <c:numCache>
                <c:formatCode>General</c:formatCode>
                <c:ptCount val="14"/>
                <c:pt idx="0">
                  <c:v>1.1000000000000001</c:v>
                </c:pt>
                <c:pt idx="1">
                  <c:v>1.25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</c:numCache>
            </c:numRef>
          </c:cat>
          <c:val>
            <c:numRef>
              <c:f>[1]Sheet1!$E$12:$E$25</c:f>
              <c:numCache>
                <c:formatCode>General</c:formatCode>
                <c:ptCount val="14"/>
                <c:pt idx="0">
                  <c:v>6.8992908091557115E-2</c:v>
                </c:pt>
                <c:pt idx="1">
                  <c:v>0.10389301002021623</c:v>
                </c:pt>
                <c:pt idx="2">
                  <c:v>0.14587442414456553</c:v>
                </c:pt>
                <c:pt idx="3">
                  <c:v>0.2109334883077203</c:v>
                </c:pt>
                <c:pt idx="4">
                  <c:v>0.28331915812964859</c:v>
                </c:pt>
                <c:pt idx="5">
                  <c:v>0.35950123590912852</c:v>
                </c:pt>
                <c:pt idx="6">
                  <c:v>0.43618892931247721</c:v>
                </c:pt>
                <c:pt idx="7">
                  <c:v>0.54631603538963391</c:v>
                </c:pt>
                <c:pt idx="8">
                  <c:v>0.70277796280968263</c:v>
                </c:pt>
                <c:pt idx="9">
                  <c:v>0.81726227501186222</c:v>
                </c:pt>
                <c:pt idx="10">
                  <c:v>0.89332446765230444</c:v>
                </c:pt>
                <c:pt idx="11">
                  <c:v>0.94033188582381999</c:v>
                </c:pt>
                <c:pt idx="12">
                  <c:v>0.96779413828659877</c:v>
                </c:pt>
                <c:pt idx="13">
                  <c:v>0.9831324044877473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526496"/>
        <c:axId val="1865659712"/>
      </c:lineChart>
      <c:catAx>
        <c:axId val="1303526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latin typeface="Calibri"/>
                  </a:rPr>
                  <a:t>θ1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5659712"/>
        <c:crosses val="autoZero"/>
        <c:auto val="1"/>
        <c:lblAlgn val="ctr"/>
        <c:lblOffset val="100"/>
        <c:noMultiLvlLbl val="0"/>
      </c:catAx>
      <c:valAx>
        <c:axId val="1865659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0352649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Curve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Power</c:v>
          </c:tx>
          <c:cat>
            <c:numRef>
              <c:f>[1]Sheet1!$D$52:$D$61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[1]Sheet1!$E$52:$E$61</c:f>
              <c:numCache>
                <c:formatCode>General</c:formatCode>
                <c:ptCount val="10"/>
                <c:pt idx="0">
                  <c:v>1</c:v>
                </c:pt>
                <c:pt idx="1">
                  <c:v>0.99748068942898616</c:v>
                </c:pt>
                <c:pt idx="2">
                  <c:v>0.96133166128858738</c:v>
                </c:pt>
                <c:pt idx="3">
                  <c:v>0.85597884067975016</c:v>
                </c:pt>
                <c:pt idx="4">
                  <c:v>0.69465807432630355</c:v>
                </c:pt>
                <c:pt idx="5">
                  <c:v>0.5175987928549326</c:v>
                </c:pt>
                <c:pt idx="6">
                  <c:v>0.35874851370499233</c:v>
                </c:pt>
                <c:pt idx="7">
                  <c:v>0.23420437249316967</c:v>
                </c:pt>
                <c:pt idx="8">
                  <c:v>0.14552552775626901</c:v>
                </c:pt>
                <c:pt idx="9">
                  <c:v>8.6784645346713304E-2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639040"/>
        <c:axId val="1865642304"/>
      </c:lineChart>
      <c:catAx>
        <c:axId val="186563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>
                    <a:latin typeface="Calibri"/>
                  </a:rPr>
                  <a:t>θ</a:t>
                </a:r>
                <a:r>
                  <a:rPr lang="en-US">
                    <a:latin typeface="Calibri"/>
                  </a:rPr>
                  <a:t>1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642304"/>
        <c:crosses val="autoZero"/>
        <c:auto val="1"/>
        <c:lblAlgn val="ctr"/>
        <c:lblOffset val="100"/>
        <c:noMultiLvlLbl val="0"/>
      </c:catAx>
      <c:valAx>
        <c:axId val="1865642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63904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Power Curve</c:v>
          </c:tx>
          <c:xVal>
            <c:numRef>
              <c:f>'Prac 6'!$D$6:$D$11</c:f>
              <c:numCache>
                <c:formatCode>General</c:formatCode>
                <c:ptCount val="6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</c:numCache>
            </c:numRef>
          </c:xVal>
          <c:yVal>
            <c:numRef>
              <c:f>'Prac 6'!$I$6:$I$11</c:f>
              <c:numCache>
                <c:formatCode>General</c:formatCode>
                <c:ptCount val="6"/>
                <c:pt idx="0">
                  <c:v>0.46620780300330977</c:v>
                </c:pt>
                <c:pt idx="1">
                  <c:v>0.23952699321850013</c:v>
                </c:pt>
                <c:pt idx="2">
                  <c:v>9.5813525634441482E-2</c:v>
                </c:pt>
                <c:pt idx="3">
                  <c:v>9.5813525634441427E-2</c:v>
                </c:pt>
                <c:pt idx="4">
                  <c:v>0.23952699321850016</c:v>
                </c:pt>
                <c:pt idx="5">
                  <c:v>0.46620780300330977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656448"/>
        <c:axId val="1865635776"/>
      </c:scatterChart>
      <c:valAx>
        <c:axId val="1865656448"/>
        <c:scaling>
          <c:orientation val="minMax"/>
          <c:max val="24"/>
          <c:min val="16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>
                    <a:latin typeface="Calibri"/>
                  </a:rPr>
                  <a:t>θ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5635776"/>
        <c:crosses val="autoZero"/>
        <c:crossBetween val="midCat"/>
      </c:valAx>
      <c:valAx>
        <c:axId val="1865635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1-</a:t>
                </a:r>
                <a:r>
                  <a:rPr lang="el-GR" sz="1400"/>
                  <a:t>β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5656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 orientation="landscape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415507272117302"/>
          <c:y val="0.17477698465261934"/>
          <c:w val="0.82908636420447468"/>
          <c:h val="0.65207283668980787"/>
        </c:manualLayout>
      </c:layout>
      <c:lineChart>
        <c:grouping val="stacked"/>
        <c:varyColors val="0"/>
        <c:ser>
          <c:idx val="0"/>
          <c:order val="0"/>
          <c:tx>
            <c:v>Power Curve</c:v>
          </c:tx>
          <c:cat>
            <c:numRef>
              <c:f>'Prac 7,8'!$A$10:$A$19</c:f>
              <c:numCache>
                <c:formatCode>General</c:formatCode>
                <c:ptCount val="10"/>
                <c:pt idx="0">
                  <c:v>1.01</c:v>
                </c:pt>
                <c:pt idx="1">
                  <c:v>1.04</c:v>
                </c:pt>
                <c:pt idx="2">
                  <c:v>1.08</c:v>
                </c:pt>
                <c:pt idx="3">
                  <c:v>1.1200000000000001</c:v>
                </c:pt>
                <c:pt idx="4">
                  <c:v>1.1599999999999999</c:v>
                </c:pt>
                <c:pt idx="5">
                  <c:v>1.2</c:v>
                </c:pt>
                <c:pt idx="6">
                  <c:v>1.24</c:v>
                </c:pt>
                <c:pt idx="7">
                  <c:v>1.28</c:v>
                </c:pt>
                <c:pt idx="8">
                  <c:v>1.32</c:v>
                </c:pt>
                <c:pt idx="9">
                  <c:v>1.36</c:v>
                </c:pt>
              </c:numCache>
            </c:numRef>
          </c:cat>
          <c:val>
            <c:numRef>
              <c:f>'Prac 7,8'!$B$10:$B$19</c:f>
              <c:numCache>
                <c:formatCode>General</c:formatCode>
                <c:ptCount val="10"/>
                <c:pt idx="0">
                  <c:v>0.22143275317956967</c:v>
                </c:pt>
                <c:pt idx="1">
                  <c:v>0.56643240110877291</c:v>
                </c:pt>
                <c:pt idx="2">
                  <c:v>0.79617920296614642</c:v>
                </c:pt>
                <c:pt idx="3">
                  <c:v>0.90151657317334621</c:v>
                </c:pt>
                <c:pt idx="4">
                  <c:v>0.95118381673195329</c:v>
                </c:pt>
                <c:pt idx="5">
                  <c:v>0.97522014936064061</c:v>
                </c:pt>
                <c:pt idx="6">
                  <c:v>0.98713855093784797</c:v>
                </c:pt>
                <c:pt idx="7">
                  <c:v>0.99318408426952409</c:v>
                </c:pt>
                <c:pt idx="8">
                  <c:v>0.99631663309906926</c:v>
                </c:pt>
                <c:pt idx="9">
                  <c:v>0.99797257201019307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660256"/>
        <c:axId val="1865653184"/>
      </c:lineChart>
      <c:catAx>
        <c:axId val="186566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latin typeface="Calibri"/>
                  </a:rPr>
                  <a:t>θ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5653184"/>
        <c:crosses val="autoZero"/>
        <c:auto val="1"/>
        <c:lblAlgn val="ctr"/>
        <c:lblOffset val="100"/>
        <c:noMultiLvlLbl val="0"/>
      </c:catAx>
      <c:valAx>
        <c:axId val="18656531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1-</a:t>
                </a:r>
                <a:r>
                  <a:rPr lang="el-GR"/>
                  <a:t>β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5660256"/>
        <c:crosses val="autoZero"/>
        <c:crossBetween val="between"/>
        <c:majorUnit val="0.2"/>
      </c:valAx>
    </c:plotArea>
    <c:plotVisOnly val="1"/>
    <c:dispBlanksAs val="zero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733329539071823"/>
          <c:y val="0.16356679904807819"/>
          <c:w val="0.83694326925175599"/>
          <c:h val="0.61481661731059256"/>
        </c:manualLayout>
      </c:layout>
      <c:lineChart>
        <c:grouping val="stacked"/>
        <c:varyColors val="0"/>
        <c:ser>
          <c:idx val="0"/>
          <c:order val="0"/>
          <c:tx>
            <c:v>Power Curve</c:v>
          </c:tx>
          <c:cat>
            <c:numRef>
              <c:f>'Prac 7,8'!$A$31:$A$42</c:f>
              <c:numCache>
                <c:formatCode>General</c:formatCode>
                <c:ptCount val="12"/>
                <c:pt idx="0">
                  <c:v>0.1</c:v>
                </c:pt>
                <c:pt idx="1">
                  <c:v>0.25</c:v>
                </c:pt>
                <c:pt idx="2">
                  <c:v>0.4</c:v>
                </c:pt>
                <c:pt idx="3">
                  <c:v>0.55000000000000004</c:v>
                </c:pt>
                <c:pt idx="4">
                  <c:v>0.7</c:v>
                </c:pt>
                <c:pt idx="5">
                  <c:v>0.85</c:v>
                </c:pt>
                <c:pt idx="6">
                  <c:v>1.1499999999999999</c:v>
                </c:pt>
                <c:pt idx="7">
                  <c:v>1.3</c:v>
                </c:pt>
                <c:pt idx="8">
                  <c:v>1.45</c:v>
                </c:pt>
                <c:pt idx="9">
                  <c:v>1.6</c:v>
                </c:pt>
                <c:pt idx="10">
                  <c:v>1.75</c:v>
                </c:pt>
                <c:pt idx="11">
                  <c:v>1.9</c:v>
                </c:pt>
              </c:numCache>
            </c:numRef>
          </c:cat>
          <c:val>
            <c:numRef>
              <c:f>'Prac 7,8'!$D$31:$D$42</c:f>
              <c:numCache>
                <c:formatCode>General</c:formatCode>
                <c:ptCount val="12"/>
                <c:pt idx="0">
                  <c:v>0.9999999855268038</c:v>
                </c:pt>
                <c:pt idx="1">
                  <c:v>0.96501634224300803</c:v>
                </c:pt>
                <c:pt idx="2">
                  <c:v>0.63161003912263669</c:v>
                </c:pt>
                <c:pt idx="3">
                  <c:v>0.29535011782029186</c:v>
                </c:pt>
                <c:pt idx="4">
                  <c:v>0.12709197294200897</c:v>
                </c:pt>
                <c:pt idx="5">
                  <c:v>6.0536683255667412E-2</c:v>
                </c:pt>
                <c:pt idx="6">
                  <c:v>8.0353699911339227E-2</c:v>
                </c:pt>
                <c:pt idx="7">
                  <c:v>0.14324050650715231</c:v>
                </c:pt>
                <c:pt idx="8">
                  <c:v>0.22825499027392032</c:v>
                </c:pt>
                <c:pt idx="9">
                  <c:v>0.32400059665716185</c:v>
                </c:pt>
                <c:pt idx="10">
                  <c:v>0.42079398065440693</c:v>
                </c:pt>
                <c:pt idx="11">
                  <c:v>0.51196653341402532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631968"/>
        <c:axId val="1865642848"/>
      </c:lineChart>
      <c:catAx>
        <c:axId val="1865631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>
                    <a:latin typeface="Calibri"/>
                  </a:rPr>
                  <a:t>σ</a:t>
                </a:r>
                <a:r>
                  <a:rPr lang="en-US">
                    <a:latin typeface="Calibri"/>
                  </a:rPr>
                  <a:t>^2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5642848"/>
        <c:crosses val="autoZero"/>
        <c:auto val="1"/>
        <c:lblAlgn val="ctr"/>
        <c:lblOffset val="100"/>
        <c:noMultiLvlLbl val="0"/>
      </c:catAx>
      <c:valAx>
        <c:axId val="1865642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1-</a:t>
                </a:r>
                <a:r>
                  <a:rPr lang="el-GR"/>
                  <a:t>β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6563196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25</xdr:row>
      <xdr:rowOff>76200</xdr:rowOff>
    </xdr:from>
    <xdr:to>
      <xdr:col>7</xdr:col>
      <xdr:colOff>400050</xdr:colOff>
      <xdr:row>41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533399</xdr:colOff>
      <xdr:row>63</xdr:row>
      <xdr:rowOff>28575</xdr:rowOff>
    </xdr:from>
    <xdr:to>
      <xdr:col>7</xdr:col>
      <xdr:colOff>447674</xdr:colOff>
      <xdr:row>78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13</xdr:row>
      <xdr:rowOff>114300</xdr:rowOff>
    </xdr:from>
    <xdr:to>
      <xdr:col>8</xdr:col>
      <xdr:colOff>57150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4</xdr:row>
      <xdr:rowOff>152400</xdr:rowOff>
    </xdr:from>
    <xdr:to>
      <xdr:col>9</xdr:col>
      <xdr:colOff>114300</xdr:colOff>
      <xdr:row>20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28573</xdr:colOff>
      <xdr:row>26</xdr:row>
      <xdr:rowOff>9524</xdr:rowOff>
    </xdr:from>
    <xdr:to>
      <xdr:col>9</xdr:col>
      <xdr:colOff>600074</xdr:colOff>
      <xdr:row>43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161925</xdr:rowOff>
    </xdr:from>
    <xdr:to>
      <xdr:col>5</xdr:col>
      <xdr:colOff>0</xdr:colOff>
      <xdr:row>6</xdr:row>
      <xdr:rowOff>95250</xdr:rowOff>
    </xdr:to>
    <xdr:sp macro="" textlink="">
      <xdr:nvSpPr>
        <xdr:cNvPr id="2" name="Double Bracket 1"/>
        <xdr:cNvSpPr/>
      </xdr:nvSpPr>
      <xdr:spPr>
        <a:xfrm>
          <a:off x="600075" y="361950"/>
          <a:ext cx="2447925" cy="8858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581025</xdr:colOff>
      <xdr:row>6</xdr:row>
      <xdr:rowOff>171450</xdr:rowOff>
    </xdr:from>
    <xdr:to>
      <xdr:col>2</xdr:col>
      <xdr:colOff>600075</xdr:colOff>
      <xdr:row>9</xdr:row>
      <xdr:rowOff>47625</xdr:rowOff>
    </xdr:to>
    <xdr:sp macro="" textlink="">
      <xdr:nvSpPr>
        <xdr:cNvPr id="3" name="Double Bracket 2"/>
        <xdr:cNvSpPr/>
      </xdr:nvSpPr>
      <xdr:spPr>
        <a:xfrm>
          <a:off x="581025" y="1323975"/>
          <a:ext cx="1238250" cy="4857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571500</xdr:colOff>
      <xdr:row>6</xdr:row>
      <xdr:rowOff>180975</xdr:rowOff>
    </xdr:from>
    <xdr:to>
      <xdr:col>6</xdr:col>
      <xdr:colOff>590550</xdr:colOff>
      <xdr:row>9</xdr:row>
      <xdr:rowOff>28575</xdr:rowOff>
    </xdr:to>
    <xdr:sp macro="" textlink="">
      <xdr:nvSpPr>
        <xdr:cNvPr id="4" name="Double Bracket 3"/>
        <xdr:cNvSpPr/>
      </xdr:nvSpPr>
      <xdr:spPr>
        <a:xfrm>
          <a:off x="3009900" y="1333500"/>
          <a:ext cx="123825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19050</xdr:colOff>
      <xdr:row>12</xdr:row>
      <xdr:rowOff>38100</xdr:rowOff>
    </xdr:to>
    <xdr:sp macro="" textlink="">
      <xdr:nvSpPr>
        <xdr:cNvPr id="5" name="Double Bracket 4"/>
        <xdr:cNvSpPr/>
      </xdr:nvSpPr>
      <xdr:spPr>
        <a:xfrm>
          <a:off x="609600" y="1952625"/>
          <a:ext cx="123825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19050</xdr:colOff>
      <xdr:row>12</xdr:row>
      <xdr:rowOff>38100</xdr:rowOff>
    </xdr:to>
    <xdr:sp macro="" textlink="">
      <xdr:nvSpPr>
        <xdr:cNvPr id="6" name="Double Bracket 5"/>
        <xdr:cNvSpPr/>
      </xdr:nvSpPr>
      <xdr:spPr>
        <a:xfrm>
          <a:off x="3048000" y="1952625"/>
          <a:ext cx="123825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3</xdr:col>
      <xdr:colOff>19050</xdr:colOff>
      <xdr:row>18</xdr:row>
      <xdr:rowOff>76200</xdr:rowOff>
    </xdr:to>
    <xdr:sp macro="" textlink="">
      <xdr:nvSpPr>
        <xdr:cNvPr id="7" name="Double Bracket 6"/>
        <xdr:cNvSpPr/>
      </xdr:nvSpPr>
      <xdr:spPr>
        <a:xfrm>
          <a:off x="609600" y="3171825"/>
          <a:ext cx="123825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19050</xdr:colOff>
      <xdr:row>15</xdr:row>
      <xdr:rowOff>38100</xdr:rowOff>
    </xdr:to>
    <xdr:sp macro="" textlink="">
      <xdr:nvSpPr>
        <xdr:cNvPr id="8" name="Double Bracket 7"/>
        <xdr:cNvSpPr/>
      </xdr:nvSpPr>
      <xdr:spPr>
        <a:xfrm>
          <a:off x="3048000" y="2562225"/>
          <a:ext cx="123825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19050</xdr:colOff>
      <xdr:row>18</xdr:row>
      <xdr:rowOff>76200</xdr:rowOff>
    </xdr:to>
    <xdr:sp macro="" textlink="">
      <xdr:nvSpPr>
        <xdr:cNvPr id="9" name="Double Bracket 8"/>
        <xdr:cNvSpPr/>
      </xdr:nvSpPr>
      <xdr:spPr>
        <a:xfrm>
          <a:off x="3048000" y="3171825"/>
          <a:ext cx="123825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19050</xdr:colOff>
      <xdr:row>21</xdr:row>
      <xdr:rowOff>76200</xdr:rowOff>
    </xdr:to>
    <xdr:sp macro="" textlink="">
      <xdr:nvSpPr>
        <xdr:cNvPr id="11" name="Double Bracket 10"/>
        <xdr:cNvSpPr/>
      </xdr:nvSpPr>
      <xdr:spPr>
        <a:xfrm>
          <a:off x="609600" y="3743325"/>
          <a:ext cx="123825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19050</xdr:colOff>
      <xdr:row>21</xdr:row>
      <xdr:rowOff>76200</xdr:rowOff>
    </xdr:to>
    <xdr:sp macro="" textlink="">
      <xdr:nvSpPr>
        <xdr:cNvPr id="12" name="Double Bracket 11"/>
        <xdr:cNvSpPr/>
      </xdr:nvSpPr>
      <xdr:spPr>
        <a:xfrm>
          <a:off x="3048000" y="3743325"/>
          <a:ext cx="1238250" cy="4572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</xdr:colOff>
      <xdr:row>22</xdr:row>
      <xdr:rowOff>1</xdr:rowOff>
    </xdr:from>
    <xdr:to>
      <xdr:col>5</xdr:col>
      <xdr:colOff>1</xdr:colOff>
      <xdr:row>26</xdr:row>
      <xdr:rowOff>104776</xdr:rowOff>
    </xdr:to>
    <xdr:sp macro="" textlink="">
      <xdr:nvSpPr>
        <xdr:cNvPr id="13" name="Double Bracket 12"/>
        <xdr:cNvSpPr/>
      </xdr:nvSpPr>
      <xdr:spPr>
        <a:xfrm>
          <a:off x="609601" y="4314826"/>
          <a:ext cx="2438400" cy="8953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5</xdr:col>
      <xdr:colOff>9525</xdr:colOff>
      <xdr:row>33</xdr:row>
      <xdr:rowOff>95250</xdr:rowOff>
    </xdr:to>
    <xdr:sp macro="" textlink="">
      <xdr:nvSpPr>
        <xdr:cNvPr id="14" name="Double Bracket 13"/>
        <xdr:cNvSpPr/>
      </xdr:nvSpPr>
      <xdr:spPr>
        <a:xfrm>
          <a:off x="609600" y="5295900"/>
          <a:ext cx="2447925" cy="8858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</xdr:row>
      <xdr:rowOff>161925</xdr:rowOff>
    </xdr:from>
    <xdr:to>
      <xdr:col>5</xdr:col>
      <xdr:colOff>0</xdr:colOff>
      <xdr:row>6</xdr:row>
      <xdr:rowOff>114300</xdr:rowOff>
    </xdr:to>
    <xdr:sp macro="" textlink="">
      <xdr:nvSpPr>
        <xdr:cNvPr id="2" name="Double Bracket 1"/>
        <xdr:cNvSpPr/>
      </xdr:nvSpPr>
      <xdr:spPr>
        <a:xfrm>
          <a:off x="828675" y="361950"/>
          <a:ext cx="2505075" cy="9048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32</xdr:row>
      <xdr:rowOff>1</xdr:rowOff>
    </xdr:from>
    <xdr:to>
      <xdr:col>5</xdr:col>
      <xdr:colOff>47625</xdr:colOff>
      <xdr:row>36</xdr:row>
      <xdr:rowOff>19051</xdr:rowOff>
    </xdr:to>
    <xdr:sp macro="" textlink="">
      <xdr:nvSpPr>
        <xdr:cNvPr id="3" name="Double Bracket 2"/>
        <xdr:cNvSpPr/>
      </xdr:nvSpPr>
      <xdr:spPr>
        <a:xfrm>
          <a:off x="895350" y="6486526"/>
          <a:ext cx="2486025" cy="7810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828676</xdr:colOff>
      <xdr:row>36</xdr:row>
      <xdr:rowOff>47626</xdr:rowOff>
    </xdr:from>
    <xdr:to>
      <xdr:col>5</xdr:col>
      <xdr:colOff>19050</xdr:colOff>
      <xdr:row>40</xdr:row>
      <xdr:rowOff>57151</xdr:rowOff>
    </xdr:to>
    <xdr:sp macro="" textlink="">
      <xdr:nvSpPr>
        <xdr:cNvPr id="4" name="Double Bracket 3"/>
        <xdr:cNvSpPr/>
      </xdr:nvSpPr>
      <xdr:spPr>
        <a:xfrm>
          <a:off x="828676" y="7296151"/>
          <a:ext cx="2524124" cy="8001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876300</xdr:colOff>
      <xdr:row>40</xdr:row>
      <xdr:rowOff>47625</xdr:rowOff>
    </xdr:from>
    <xdr:to>
      <xdr:col>4</xdr:col>
      <xdr:colOff>600075</xdr:colOff>
      <xdr:row>44</xdr:row>
      <xdr:rowOff>9525</xdr:rowOff>
    </xdr:to>
    <xdr:sp macro="" textlink="">
      <xdr:nvSpPr>
        <xdr:cNvPr id="5" name="Double Bracket 4"/>
        <xdr:cNvSpPr/>
      </xdr:nvSpPr>
      <xdr:spPr>
        <a:xfrm>
          <a:off x="876300" y="8086725"/>
          <a:ext cx="2447925" cy="752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885825</xdr:colOff>
      <xdr:row>7</xdr:row>
      <xdr:rowOff>38100</xdr:rowOff>
    </xdr:from>
    <xdr:to>
      <xdr:col>4</xdr:col>
      <xdr:colOff>0</xdr:colOff>
      <xdr:row>10</xdr:row>
      <xdr:rowOff>0</xdr:rowOff>
    </xdr:to>
    <xdr:sp macro="" textlink="">
      <xdr:nvSpPr>
        <xdr:cNvPr id="6" name="Double Bracket 5"/>
        <xdr:cNvSpPr/>
      </xdr:nvSpPr>
      <xdr:spPr>
        <a:xfrm>
          <a:off x="885825" y="1381125"/>
          <a:ext cx="1838325" cy="571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809625</xdr:colOff>
      <xdr:row>7</xdr:row>
      <xdr:rowOff>38100</xdr:rowOff>
    </xdr:from>
    <xdr:to>
      <xdr:col>8</xdr:col>
      <xdr:colOff>561975</xdr:colOff>
      <xdr:row>10</xdr:row>
      <xdr:rowOff>0</xdr:rowOff>
    </xdr:to>
    <xdr:sp macro="" textlink="">
      <xdr:nvSpPr>
        <xdr:cNvPr id="7" name="Double Bracket 6"/>
        <xdr:cNvSpPr/>
      </xdr:nvSpPr>
      <xdr:spPr>
        <a:xfrm>
          <a:off x="4143375" y="1381125"/>
          <a:ext cx="1838325" cy="571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9525</xdr:colOff>
      <xdr:row>14</xdr:row>
      <xdr:rowOff>152400</xdr:rowOff>
    </xdr:to>
    <xdr:sp macro="" textlink="">
      <xdr:nvSpPr>
        <xdr:cNvPr id="8" name="Double Bracket 7"/>
        <xdr:cNvSpPr/>
      </xdr:nvSpPr>
      <xdr:spPr>
        <a:xfrm>
          <a:off x="895350" y="2371725"/>
          <a:ext cx="1838325" cy="571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828675</xdr:colOff>
      <xdr:row>12</xdr:row>
      <xdr:rowOff>0</xdr:rowOff>
    </xdr:from>
    <xdr:to>
      <xdr:col>8</xdr:col>
      <xdr:colOff>581025</xdr:colOff>
      <xdr:row>14</xdr:row>
      <xdr:rowOff>152400</xdr:rowOff>
    </xdr:to>
    <xdr:sp macro="" textlink="">
      <xdr:nvSpPr>
        <xdr:cNvPr id="9" name="Double Bracket 8"/>
        <xdr:cNvSpPr/>
      </xdr:nvSpPr>
      <xdr:spPr>
        <a:xfrm>
          <a:off x="4162425" y="2371725"/>
          <a:ext cx="1838325" cy="571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9525</xdr:colOff>
      <xdr:row>19</xdr:row>
      <xdr:rowOff>152400</xdr:rowOff>
    </xdr:to>
    <xdr:sp macro="" textlink="">
      <xdr:nvSpPr>
        <xdr:cNvPr id="10" name="Double Bracket 9"/>
        <xdr:cNvSpPr/>
      </xdr:nvSpPr>
      <xdr:spPr>
        <a:xfrm>
          <a:off x="895350" y="3400425"/>
          <a:ext cx="1838325" cy="571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828675</xdr:colOff>
      <xdr:row>17</xdr:row>
      <xdr:rowOff>9525</xdr:rowOff>
    </xdr:from>
    <xdr:to>
      <xdr:col>8</xdr:col>
      <xdr:colOff>581025</xdr:colOff>
      <xdr:row>19</xdr:row>
      <xdr:rowOff>161925</xdr:rowOff>
    </xdr:to>
    <xdr:sp macro="" textlink="">
      <xdr:nvSpPr>
        <xdr:cNvPr id="11" name="Double Bracket 10"/>
        <xdr:cNvSpPr/>
      </xdr:nvSpPr>
      <xdr:spPr>
        <a:xfrm>
          <a:off x="4162425" y="3409950"/>
          <a:ext cx="1838325" cy="571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4</xdr:col>
      <xdr:colOff>9525</xdr:colOff>
      <xdr:row>24</xdr:row>
      <xdr:rowOff>152400</xdr:rowOff>
    </xdr:to>
    <xdr:sp macro="" textlink="">
      <xdr:nvSpPr>
        <xdr:cNvPr id="12" name="Double Bracket 11"/>
        <xdr:cNvSpPr/>
      </xdr:nvSpPr>
      <xdr:spPr>
        <a:xfrm>
          <a:off x="895350" y="4429125"/>
          <a:ext cx="1838325" cy="571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828675</xdr:colOff>
      <xdr:row>22</xdr:row>
      <xdr:rowOff>19050</xdr:rowOff>
    </xdr:from>
    <xdr:to>
      <xdr:col>8</xdr:col>
      <xdr:colOff>581025</xdr:colOff>
      <xdr:row>24</xdr:row>
      <xdr:rowOff>171450</xdr:rowOff>
    </xdr:to>
    <xdr:sp macro="" textlink="">
      <xdr:nvSpPr>
        <xdr:cNvPr id="13" name="Double Bracket 12"/>
        <xdr:cNvSpPr/>
      </xdr:nvSpPr>
      <xdr:spPr>
        <a:xfrm>
          <a:off x="4162425" y="4448175"/>
          <a:ext cx="1838325" cy="571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4</xdr:col>
      <xdr:colOff>9525</xdr:colOff>
      <xdr:row>29</xdr:row>
      <xdr:rowOff>152400</xdr:rowOff>
    </xdr:to>
    <xdr:sp macro="" textlink="">
      <xdr:nvSpPr>
        <xdr:cNvPr id="14" name="Double Bracket 13"/>
        <xdr:cNvSpPr/>
      </xdr:nvSpPr>
      <xdr:spPr>
        <a:xfrm>
          <a:off x="895350" y="5457825"/>
          <a:ext cx="1838325" cy="571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828675</xdr:colOff>
      <xdr:row>27</xdr:row>
      <xdr:rowOff>0</xdr:rowOff>
    </xdr:from>
    <xdr:to>
      <xdr:col>8</xdr:col>
      <xdr:colOff>581025</xdr:colOff>
      <xdr:row>29</xdr:row>
      <xdr:rowOff>152400</xdr:rowOff>
    </xdr:to>
    <xdr:sp macro="" textlink="">
      <xdr:nvSpPr>
        <xdr:cNvPr id="15" name="Double Bracket 14"/>
        <xdr:cNvSpPr/>
      </xdr:nvSpPr>
      <xdr:spPr>
        <a:xfrm>
          <a:off x="4162425" y="5457825"/>
          <a:ext cx="1838325" cy="571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</xdr:row>
      <xdr:rowOff>161925</xdr:rowOff>
    </xdr:from>
    <xdr:to>
      <xdr:col>5</xdr:col>
      <xdr:colOff>0</xdr:colOff>
      <xdr:row>6</xdr:row>
      <xdr:rowOff>114300</xdr:rowOff>
    </xdr:to>
    <xdr:sp macro="" textlink="">
      <xdr:nvSpPr>
        <xdr:cNvPr id="2" name="Double Bracket 1"/>
        <xdr:cNvSpPr/>
      </xdr:nvSpPr>
      <xdr:spPr>
        <a:xfrm>
          <a:off x="828675" y="361950"/>
          <a:ext cx="2505075" cy="9048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161924</xdr:rowOff>
    </xdr:from>
    <xdr:to>
      <xdr:col>3</xdr:col>
      <xdr:colOff>571500</xdr:colOff>
      <xdr:row>5</xdr:row>
      <xdr:rowOff>95249</xdr:rowOff>
    </xdr:to>
    <xdr:sp macro="" textlink="">
      <xdr:nvSpPr>
        <xdr:cNvPr id="2" name="Double Bracket 1"/>
        <xdr:cNvSpPr/>
      </xdr:nvSpPr>
      <xdr:spPr>
        <a:xfrm>
          <a:off x="619125" y="361949"/>
          <a:ext cx="1781175" cy="6953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</xdr:colOff>
      <xdr:row>16</xdr:row>
      <xdr:rowOff>1</xdr:rowOff>
    </xdr:from>
    <xdr:to>
      <xdr:col>3</xdr:col>
      <xdr:colOff>533401</xdr:colOff>
      <xdr:row>19</xdr:row>
      <xdr:rowOff>114301</xdr:rowOff>
    </xdr:to>
    <xdr:sp macro="" textlink="">
      <xdr:nvSpPr>
        <xdr:cNvPr id="3" name="Double Bracket 2"/>
        <xdr:cNvSpPr/>
      </xdr:nvSpPr>
      <xdr:spPr>
        <a:xfrm>
          <a:off x="771526" y="3086101"/>
          <a:ext cx="1752600" cy="685800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</xdr:colOff>
      <xdr:row>16</xdr:row>
      <xdr:rowOff>1</xdr:rowOff>
    </xdr:from>
    <xdr:to>
      <xdr:col>7</xdr:col>
      <xdr:colOff>552451</xdr:colOff>
      <xdr:row>19</xdr:row>
      <xdr:rowOff>57151</xdr:rowOff>
    </xdr:to>
    <xdr:sp macro="" textlink="">
      <xdr:nvSpPr>
        <xdr:cNvPr id="4" name="Double Bracket 3"/>
        <xdr:cNvSpPr/>
      </xdr:nvSpPr>
      <xdr:spPr>
        <a:xfrm>
          <a:off x="3209926" y="3086101"/>
          <a:ext cx="1771650" cy="628650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3</xdr:col>
      <xdr:colOff>561975</xdr:colOff>
      <xdr:row>24</xdr:row>
      <xdr:rowOff>123825</xdr:rowOff>
    </xdr:to>
    <xdr:sp macro="" textlink="">
      <xdr:nvSpPr>
        <xdr:cNvPr id="5" name="Double Bracket 4"/>
        <xdr:cNvSpPr/>
      </xdr:nvSpPr>
      <xdr:spPr>
        <a:xfrm>
          <a:off x="609600" y="3657600"/>
          <a:ext cx="1781175" cy="6953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</xdr:colOff>
      <xdr:row>10</xdr:row>
      <xdr:rowOff>0</xdr:rowOff>
    </xdr:from>
    <xdr:to>
      <xdr:col>2</xdr:col>
      <xdr:colOff>514351</xdr:colOff>
      <xdr:row>12</xdr:row>
      <xdr:rowOff>28575</xdr:rowOff>
    </xdr:to>
    <xdr:sp macro="" textlink="">
      <xdr:nvSpPr>
        <xdr:cNvPr id="6" name="Double Bracket 5"/>
        <xdr:cNvSpPr/>
      </xdr:nvSpPr>
      <xdr:spPr>
        <a:xfrm>
          <a:off x="609601" y="1724025"/>
          <a:ext cx="1123950" cy="40957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600074</xdr:colOff>
      <xdr:row>15</xdr:row>
      <xdr:rowOff>28575</xdr:rowOff>
    </xdr:to>
    <xdr:sp macro="" textlink="">
      <xdr:nvSpPr>
        <xdr:cNvPr id="7" name="Double Bracket 6"/>
        <xdr:cNvSpPr/>
      </xdr:nvSpPr>
      <xdr:spPr>
        <a:xfrm>
          <a:off x="771525" y="2533650"/>
          <a:ext cx="1209674" cy="44767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590550</xdr:colOff>
      <xdr:row>15</xdr:row>
      <xdr:rowOff>38100</xdr:rowOff>
    </xdr:to>
    <xdr:sp macro="" textlink="">
      <xdr:nvSpPr>
        <xdr:cNvPr id="8" name="Double Bracket 7"/>
        <xdr:cNvSpPr/>
      </xdr:nvSpPr>
      <xdr:spPr>
        <a:xfrm>
          <a:off x="3048000" y="2295525"/>
          <a:ext cx="1200150" cy="44767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9525</xdr:colOff>
      <xdr:row>26</xdr:row>
      <xdr:rowOff>161924</xdr:rowOff>
    </xdr:from>
    <xdr:to>
      <xdr:col>3</xdr:col>
      <xdr:colOff>571500</xdr:colOff>
      <xdr:row>30</xdr:row>
      <xdr:rowOff>95249</xdr:rowOff>
    </xdr:to>
    <xdr:sp macro="" textlink="">
      <xdr:nvSpPr>
        <xdr:cNvPr id="9" name="Double Bracket 8"/>
        <xdr:cNvSpPr/>
      </xdr:nvSpPr>
      <xdr:spPr>
        <a:xfrm>
          <a:off x="619125" y="361949"/>
          <a:ext cx="1781175" cy="6953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8</xdr:col>
      <xdr:colOff>561975</xdr:colOff>
      <xdr:row>30</xdr:row>
      <xdr:rowOff>123825</xdr:rowOff>
    </xdr:to>
    <xdr:sp macro="" textlink="">
      <xdr:nvSpPr>
        <xdr:cNvPr id="10" name="Double Bracket 9"/>
        <xdr:cNvSpPr/>
      </xdr:nvSpPr>
      <xdr:spPr>
        <a:xfrm>
          <a:off x="3048000" y="5181600"/>
          <a:ext cx="1781175" cy="6953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3</xdr:col>
      <xdr:colOff>561975</xdr:colOff>
      <xdr:row>34</xdr:row>
      <xdr:rowOff>123825</xdr:rowOff>
    </xdr:to>
    <xdr:sp macro="" textlink="">
      <xdr:nvSpPr>
        <xdr:cNvPr id="11" name="Double Bracket 10"/>
        <xdr:cNvSpPr/>
      </xdr:nvSpPr>
      <xdr:spPr>
        <a:xfrm>
          <a:off x="609600" y="5943600"/>
          <a:ext cx="1781175" cy="6953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561975</xdr:colOff>
      <xdr:row>38</xdr:row>
      <xdr:rowOff>85725</xdr:rowOff>
    </xdr:to>
    <xdr:sp macro="" textlink="">
      <xdr:nvSpPr>
        <xdr:cNvPr id="12" name="Double Bracket 11"/>
        <xdr:cNvSpPr/>
      </xdr:nvSpPr>
      <xdr:spPr>
        <a:xfrm>
          <a:off x="609600" y="6705600"/>
          <a:ext cx="1781175" cy="6953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561975</xdr:colOff>
      <xdr:row>38</xdr:row>
      <xdr:rowOff>85725</xdr:rowOff>
    </xdr:to>
    <xdr:sp macro="" textlink="">
      <xdr:nvSpPr>
        <xdr:cNvPr id="13" name="Double Bracket 12"/>
        <xdr:cNvSpPr/>
      </xdr:nvSpPr>
      <xdr:spPr>
        <a:xfrm>
          <a:off x="771525" y="7505700"/>
          <a:ext cx="1781175" cy="6953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3</xdr:col>
      <xdr:colOff>571500</xdr:colOff>
      <xdr:row>41</xdr:row>
      <xdr:rowOff>161925</xdr:rowOff>
    </xdr:to>
    <xdr:sp macro="" textlink="">
      <xdr:nvSpPr>
        <xdr:cNvPr id="14" name="Double Bracket 13"/>
        <xdr:cNvSpPr/>
      </xdr:nvSpPr>
      <xdr:spPr>
        <a:xfrm>
          <a:off x="771525" y="8305800"/>
          <a:ext cx="1790700" cy="5810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</xdr:colOff>
      <xdr:row>43</xdr:row>
      <xdr:rowOff>0</xdr:rowOff>
    </xdr:from>
    <xdr:to>
      <xdr:col>3</xdr:col>
      <xdr:colOff>552451</xdr:colOff>
      <xdr:row>45</xdr:row>
      <xdr:rowOff>180975</xdr:rowOff>
    </xdr:to>
    <xdr:sp macro="" textlink="">
      <xdr:nvSpPr>
        <xdr:cNvPr id="17" name="Double Bracket 16"/>
        <xdr:cNvSpPr/>
      </xdr:nvSpPr>
      <xdr:spPr>
        <a:xfrm>
          <a:off x="771526" y="8372475"/>
          <a:ext cx="1771650" cy="56197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47</xdr:row>
      <xdr:rowOff>0</xdr:rowOff>
    </xdr:from>
    <xdr:to>
      <xdr:col>3</xdr:col>
      <xdr:colOff>561975</xdr:colOff>
      <xdr:row>50</xdr:row>
      <xdr:rowOff>85725</xdr:rowOff>
    </xdr:to>
    <xdr:sp macro="" textlink="">
      <xdr:nvSpPr>
        <xdr:cNvPr id="18" name="Double Bracket 17"/>
        <xdr:cNvSpPr/>
      </xdr:nvSpPr>
      <xdr:spPr>
        <a:xfrm>
          <a:off x="771525" y="10058400"/>
          <a:ext cx="1781175" cy="6953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8</xdr:col>
      <xdr:colOff>561975</xdr:colOff>
      <xdr:row>50</xdr:row>
      <xdr:rowOff>85725</xdr:rowOff>
    </xdr:to>
    <xdr:sp macro="" textlink="">
      <xdr:nvSpPr>
        <xdr:cNvPr id="19" name="Double Bracket 18"/>
        <xdr:cNvSpPr/>
      </xdr:nvSpPr>
      <xdr:spPr>
        <a:xfrm>
          <a:off x="771525" y="10858500"/>
          <a:ext cx="1781175" cy="6953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52</xdr:row>
      <xdr:rowOff>0</xdr:rowOff>
    </xdr:from>
    <xdr:to>
      <xdr:col>3</xdr:col>
      <xdr:colOff>561975</xdr:colOff>
      <xdr:row>55</xdr:row>
      <xdr:rowOff>85725</xdr:rowOff>
    </xdr:to>
    <xdr:sp macro="" textlink="">
      <xdr:nvSpPr>
        <xdr:cNvPr id="20" name="Double Bracket 19"/>
        <xdr:cNvSpPr/>
      </xdr:nvSpPr>
      <xdr:spPr>
        <a:xfrm>
          <a:off x="771525" y="11658600"/>
          <a:ext cx="1781175" cy="6953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57</xdr:row>
      <xdr:rowOff>0</xdr:rowOff>
    </xdr:from>
    <xdr:to>
      <xdr:col>3</xdr:col>
      <xdr:colOff>600075</xdr:colOff>
      <xdr:row>60</xdr:row>
      <xdr:rowOff>123825</xdr:rowOff>
    </xdr:to>
    <xdr:sp macro="" textlink="">
      <xdr:nvSpPr>
        <xdr:cNvPr id="21" name="Double Bracket 20"/>
        <xdr:cNvSpPr/>
      </xdr:nvSpPr>
      <xdr:spPr>
        <a:xfrm>
          <a:off x="771525" y="12649200"/>
          <a:ext cx="1819275" cy="7334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</xdr:colOff>
      <xdr:row>62</xdr:row>
      <xdr:rowOff>1</xdr:rowOff>
    </xdr:from>
    <xdr:to>
      <xdr:col>3</xdr:col>
      <xdr:colOff>581025</xdr:colOff>
      <xdr:row>65</xdr:row>
      <xdr:rowOff>47625</xdr:rowOff>
    </xdr:to>
    <xdr:sp macro="" textlink="">
      <xdr:nvSpPr>
        <xdr:cNvPr id="22" name="Double Bracket 21"/>
        <xdr:cNvSpPr/>
      </xdr:nvSpPr>
      <xdr:spPr>
        <a:xfrm>
          <a:off x="771526" y="13449301"/>
          <a:ext cx="1800224" cy="619124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0</xdr:rowOff>
    </xdr:from>
    <xdr:to>
      <xdr:col>3</xdr:col>
      <xdr:colOff>590550</xdr:colOff>
      <xdr:row>70</xdr:row>
      <xdr:rowOff>28575</xdr:rowOff>
    </xdr:to>
    <xdr:sp macro="" textlink="">
      <xdr:nvSpPr>
        <xdr:cNvPr id="23" name="Double Bracket 22"/>
        <xdr:cNvSpPr/>
      </xdr:nvSpPr>
      <xdr:spPr>
        <a:xfrm>
          <a:off x="771525" y="13068300"/>
          <a:ext cx="1809750" cy="67627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70</xdr:row>
      <xdr:rowOff>180975</xdr:rowOff>
    </xdr:from>
    <xdr:to>
      <xdr:col>3</xdr:col>
      <xdr:colOff>581024</xdr:colOff>
      <xdr:row>74</xdr:row>
      <xdr:rowOff>9524</xdr:rowOff>
    </xdr:to>
    <xdr:sp macro="" textlink="">
      <xdr:nvSpPr>
        <xdr:cNvPr id="24" name="Double Bracket 23"/>
        <xdr:cNvSpPr/>
      </xdr:nvSpPr>
      <xdr:spPr>
        <a:xfrm>
          <a:off x="771525" y="13896975"/>
          <a:ext cx="1800224" cy="619124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3</xdr:col>
      <xdr:colOff>581024</xdr:colOff>
      <xdr:row>78</xdr:row>
      <xdr:rowOff>19049</xdr:rowOff>
    </xdr:to>
    <xdr:sp macro="" textlink="">
      <xdr:nvSpPr>
        <xdr:cNvPr id="25" name="Double Bracket 24"/>
        <xdr:cNvSpPr/>
      </xdr:nvSpPr>
      <xdr:spPr>
        <a:xfrm>
          <a:off x="771525" y="15601950"/>
          <a:ext cx="1800224" cy="619124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67</xdr:row>
      <xdr:rowOff>0</xdr:rowOff>
    </xdr:from>
    <xdr:to>
      <xdr:col>7</xdr:col>
      <xdr:colOff>590550</xdr:colOff>
      <xdr:row>69</xdr:row>
      <xdr:rowOff>9525</xdr:rowOff>
    </xdr:to>
    <xdr:sp macro="" textlink="">
      <xdr:nvSpPr>
        <xdr:cNvPr id="26" name="Double Bracket 25"/>
        <xdr:cNvSpPr/>
      </xdr:nvSpPr>
      <xdr:spPr>
        <a:xfrm>
          <a:off x="3819525" y="13068300"/>
          <a:ext cx="1200150" cy="428625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81</xdr:row>
      <xdr:rowOff>0</xdr:rowOff>
    </xdr:from>
    <xdr:to>
      <xdr:col>3</xdr:col>
      <xdr:colOff>581024</xdr:colOff>
      <xdr:row>84</xdr:row>
      <xdr:rowOff>47624</xdr:rowOff>
    </xdr:to>
    <xdr:sp macro="" textlink="">
      <xdr:nvSpPr>
        <xdr:cNvPr id="27" name="Double Bracket 26"/>
        <xdr:cNvSpPr/>
      </xdr:nvSpPr>
      <xdr:spPr>
        <a:xfrm>
          <a:off x="771525" y="15925800"/>
          <a:ext cx="1800224" cy="619124"/>
        </a:xfrm>
        <a:prstGeom prst="bracketPair">
          <a:avLst>
            <a:gd name="adj" fmla="val 109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</xdr:rowOff>
    </xdr:from>
    <xdr:to>
      <xdr:col>3</xdr:col>
      <xdr:colOff>590551</xdr:colOff>
      <xdr:row>4</xdr:row>
      <xdr:rowOff>171451</xdr:rowOff>
    </xdr:to>
    <xdr:sp macro="" textlink="">
      <xdr:nvSpPr>
        <xdr:cNvPr id="2" name="Double Bracket 1"/>
        <xdr:cNvSpPr/>
      </xdr:nvSpPr>
      <xdr:spPr>
        <a:xfrm>
          <a:off x="609601" y="390526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3</xdr:col>
      <xdr:colOff>590550</xdr:colOff>
      <xdr:row>26</xdr:row>
      <xdr:rowOff>171450</xdr:rowOff>
    </xdr:to>
    <xdr:sp macro="" textlink="">
      <xdr:nvSpPr>
        <xdr:cNvPr id="3" name="Double Bracket 2"/>
        <xdr:cNvSpPr/>
      </xdr:nvSpPr>
      <xdr:spPr>
        <a:xfrm>
          <a:off x="609600" y="3448050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7</xdr:col>
      <xdr:colOff>590550</xdr:colOff>
      <xdr:row>26</xdr:row>
      <xdr:rowOff>171450</xdr:rowOff>
    </xdr:to>
    <xdr:sp macro="" textlink="">
      <xdr:nvSpPr>
        <xdr:cNvPr id="4" name="Double Bracket 3"/>
        <xdr:cNvSpPr/>
      </xdr:nvSpPr>
      <xdr:spPr>
        <a:xfrm>
          <a:off x="3048000" y="3448050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11</xdr:col>
      <xdr:colOff>590550</xdr:colOff>
      <xdr:row>26</xdr:row>
      <xdr:rowOff>171450</xdr:rowOff>
    </xdr:to>
    <xdr:sp macro="" textlink="">
      <xdr:nvSpPr>
        <xdr:cNvPr id="5" name="Double Bracket 4"/>
        <xdr:cNvSpPr/>
      </xdr:nvSpPr>
      <xdr:spPr>
        <a:xfrm>
          <a:off x="5486400" y="3448050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3</xdr:col>
      <xdr:colOff>590550</xdr:colOff>
      <xdr:row>29</xdr:row>
      <xdr:rowOff>171450</xdr:rowOff>
    </xdr:to>
    <xdr:sp macro="" textlink="">
      <xdr:nvSpPr>
        <xdr:cNvPr id="6" name="Double Bracket 5"/>
        <xdr:cNvSpPr/>
      </xdr:nvSpPr>
      <xdr:spPr>
        <a:xfrm>
          <a:off x="609600" y="4210050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8</xdr:col>
      <xdr:colOff>590550</xdr:colOff>
      <xdr:row>4</xdr:row>
      <xdr:rowOff>171450</xdr:rowOff>
    </xdr:to>
    <xdr:sp macro="" textlink="">
      <xdr:nvSpPr>
        <xdr:cNvPr id="7" name="Double Bracket 6"/>
        <xdr:cNvSpPr/>
      </xdr:nvSpPr>
      <xdr:spPr>
        <a:xfrm>
          <a:off x="3657600" y="390525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6</xdr:col>
      <xdr:colOff>590550</xdr:colOff>
      <xdr:row>33</xdr:row>
      <xdr:rowOff>171450</xdr:rowOff>
    </xdr:to>
    <xdr:sp macro="" textlink="">
      <xdr:nvSpPr>
        <xdr:cNvPr id="8" name="Double Bracket 7"/>
        <xdr:cNvSpPr/>
      </xdr:nvSpPr>
      <xdr:spPr>
        <a:xfrm>
          <a:off x="609600" y="5162550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3</xdr:col>
      <xdr:colOff>590550</xdr:colOff>
      <xdr:row>18</xdr:row>
      <xdr:rowOff>171450</xdr:rowOff>
    </xdr:to>
    <xdr:sp macro="" textlink="">
      <xdr:nvSpPr>
        <xdr:cNvPr id="9" name="Double Bracket 8"/>
        <xdr:cNvSpPr/>
      </xdr:nvSpPr>
      <xdr:spPr>
        <a:xfrm>
          <a:off x="609600" y="3228975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590550</xdr:colOff>
      <xdr:row>18</xdr:row>
      <xdr:rowOff>171450</xdr:rowOff>
    </xdr:to>
    <xdr:sp macro="" textlink="">
      <xdr:nvSpPr>
        <xdr:cNvPr id="10" name="Double Bracket 9"/>
        <xdr:cNvSpPr/>
      </xdr:nvSpPr>
      <xdr:spPr>
        <a:xfrm>
          <a:off x="3048000" y="3228975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11</xdr:col>
      <xdr:colOff>590550</xdr:colOff>
      <xdr:row>18</xdr:row>
      <xdr:rowOff>171450</xdr:rowOff>
    </xdr:to>
    <xdr:sp macro="" textlink="">
      <xdr:nvSpPr>
        <xdr:cNvPr id="11" name="Double Bracket 10"/>
        <xdr:cNvSpPr/>
      </xdr:nvSpPr>
      <xdr:spPr>
        <a:xfrm>
          <a:off x="5486400" y="3228975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4</xdr:col>
      <xdr:colOff>590550</xdr:colOff>
      <xdr:row>21</xdr:row>
      <xdr:rowOff>171450</xdr:rowOff>
    </xdr:to>
    <xdr:sp macro="" textlink="">
      <xdr:nvSpPr>
        <xdr:cNvPr id="12" name="Double Bracket 11"/>
        <xdr:cNvSpPr/>
      </xdr:nvSpPr>
      <xdr:spPr>
        <a:xfrm>
          <a:off x="1219200" y="3990975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590550</xdr:colOff>
      <xdr:row>21</xdr:row>
      <xdr:rowOff>171450</xdr:rowOff>
    </xdr:to>
    <xdr:sp macro="" textlink="">
      <xdr:nvSpPr>
        <xdr:cNvPr id="13" name="Double Bracket 12"/>
        <xdr:cNvSpPr/>
      </xdr:nvSpPr>
      <xdr:spPr>
        <a:xfrm>
          <a:off x="4267200" y="3990975"/>
          <a:ext cx="1809750" cy="552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9</xdr:row>
      <xdr:rowOff>190499</xdr:rowOff>
    </xdr:from>
    <xdr:to>
      <xdr:col>1</xdr:col>
      <xdr:colOff>600075</xdr:colOff>
      <xdr:row>13</xdr:row>
      <xdr:rowOff>0</xdr:rowOff>
    </xdr:to>
    <xdr:sp macro="" textlink="">
      <xdr:nvSpPr>
        <xdr:cNvPr id="14" name="Double Bracket 13"/>
        <xdr:cNvSpPr/>
      </xdr:nvSpPr>
      <xdr:spPr>
        <a:xfrm>
          <a:off x="609600" y="2295524"/>
          <a:ext cx="600075" cy="5810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600075</xdr:colOff>
      <xdr:row>13</xdr:row>
      <xdr:rowOff>0</xdr:rowOff>
    </xdr:to>
    <xdr:sp macro="" textlink="">
      <xdr:nvSpPr>
        <xdr:cNvPr id="15" name="Double Bracket 14"/>
        <xdr:cNvSpPr/>
      </xdr:nvSpPr>
      <xdr:spPr>
        <a:xfrm>
          <a:off x="1828800" y="2295525"/>
          <a:ext cx="600075" cy="5810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600075</xdr:colOff>
      <xdr:row>13</xdr:row>
      <xdr:rowOff>0</xdr:rowOff>
    </xdr:to>
    <xdr:sp macro="" textlink="">
      <xdr:nvSpPr>
        <xdr:cNvPr id="16" name="Double Bracket 15"/>
        <xdr:cNvSpPr/>
      </xdr:nvSpPr>
      <xdr:spPr>
        <a:xfrm>
          <a:off x="4267200" y="2295525"/>
          <a:ext cx="600075" cy="5810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</xdr:row>
      <xdr:rowOff>28574</xdr:rowOff>
    </xdr:from>
    <xdr:to>
      <xdr:col>4</xdr:col>
      <xdr:colOff>9525</xdr:colOff>
      <xdr:row>4</xdr:row>
      <xdr:rowOff>190499</xdr:rowOff>
    </xdr:to>
    <xdr:sp macro="" textlink="">
      <xdr:nvSpPr>
        <xdr:cNvPr id="2" name="Double Bracket 1"/>
        <xdr:cNvSpPr/>
      </xdr:nvSpPr>
      <xdr:spPr>
        <a:xfrm>
          <a:off x="590550" y="419099"/>
          <a:ext cx="1857375" cy="5429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6</xdr:col>
      <xdr:colOff>600075</xdr:colOff>
      <xdr:row>5</xdr:row>
      <xdr:rowOff>19050</xdr:rowOff>
    </xdr:to>
    <xdr:sp macro="" textlink="">
      <xdr:nvSpPr>
        <xdr:cNvPr id="3" name="Double Bracket 2"/>
        <xdr:cNvSpPr/>
      </xdr:nvSpPr>
      <xdr:spPr>
        <a:xfrm>
          <a:off x="3657600" y="390525"/>
          <a:ext cx="600075" cy="5905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4</xdr:col>
      <xdr:colOff>571500</xdr:colOff>
      <xdr:row>11</xdr:row>
      <xdr:rowOff>28575</xdr:rowOff>
    </xdr:to>
    <xdr:sp macro="" textlink="">
      <xdr:nvSpPr>
        <xdr:cNvPr id="6" name="Double Bracket 5"/>
        <xdr:cNvSpPr/>
      </xdr:nvSpPr>
      <xdr:spPr>
        <a:xfrm>
          <a:off x="609600" y="1343025"/>
          <a:ext cx="2400300" cy="7905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5</xdr:col>
      <xdr:colOff>0</xdr:colOff>
      <xdr:row>19</xdr:row>
      <xdr:rowOff>47625</xdr:rowOff>
    </xdr:to>
    <xdr:sp macro="" textlink="">
      <xdr:nvSpPr>
        <xdr:cNvPr id="7" name="Double Bracket 6"/>
        <xdr:cNvSpPr/>
      </xdr:nvSpPr>
      <xdr:spPr>
        <a:xfrm>
          <a:off x="609600" y="2867025"/>
          <a:ext cx="2438400" cy="8096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5</xdr:col>
      <xdr:colOff>38100</xdr:colOff>
      <xdr:row>26</xdr:row>
      <xdr:rowOff>47625</xdr:rowOff>
    </xdr:to>
    <xdr:sp macro="" textlink="">
      <xdr:nvSpPr>
        <xdr:cNvPr id="8" name="Double Bracket 7"/>
        <xdr:cNvSpPr/>
      </xdr:nvSpPr>
      <xdr:spPr>
        <a:xfrm>
          <a:off x="609600" y="4391025"/>
          <a:ext cx="2476500" cy="8096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609599</xdr:colOff>
      <xdr:row>29</xdr:row>
      <xdr:rowOff>0</xdr:rowOff>
    </xdr:from>
    <xdr:to>
      <xdr:col>4</xdr:col>
      <xdr:colOff>600074</xdr:colOff>
      <xdr:row>33</xdr:row>
      <xdr:rowOff>0</xdr:rowOff>
    </xdr:to>
    <xdr:sp macro="" textlink="">
      <xdr:nvSpPr>
        <xdr:cNvPr id="9" name="Double Bracket 8"/>
        <xdr:cNvSpPr/>
      </xdr:nvSpPr>
      <xdr:spPr>
        <a:xfrm>
          <a:off x="609599" y="5724525"/>
          <a:ext cx="2428875" cy="8096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</xdr:colOff>
      <xdr:row>34</xdr:row>
      <xdr:rowOff>1</xdr:rowOff>
    </xdr:from>
    <xdr:to>
      <xdr:col>5</xdr:col>
      <xdr:colOff>561975</xdr:colOff>
      <xdr:row>36</xdr:row>
      <xdr:rowOff>180975</xdr:rowOff>
    </xdr:to>
    <xdr:sp macro="" textlink="">
      <xdr:nvSpPr>
        <xdr:cNvPr id="10" name="Double Bracket 9"/>
        <xdr:cNvSpPr/>
      </xdr:nvSpPr>
      <xdr:spPr>
        <a:xfrm>
          <a:off x="1828801" y="6867526"/>
          <a:ext cx="1781174" cy="561974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38100</xdr:rowOff>
    </xdr:from>
    <xdr:to>
      <xdr:col>3</xdr:col>
      <xdr:colOff>590550</xdr:colOff>
      <xdr:row>40</xdr:row>
      <xdr:rowOff>9525</xdr:rowOff>
    </xdr:to>
    <xdr:sp macro="" textlink="">
      <xdr:nvSpPr>
        <xdr:cNvPr id="11" name="Double Bracket 10"/>
        <xdr:cNvSpPr/>
      </xdr:nvSpPr>
      <xdr:spPr>
        <a:xfrm>
          <a:off x="1828800" y="7477125"/>
          <a:ext cx="590550" cy="5429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19050</xdr:rowOff>
    </xdr:from>
    <xdr:to>
      <xdr:col>2</xdr:col>
      <xdr:colOff>0</xdr:colOff>
      <xdr:row>5</xdr:row>
      <xdr:rowOff>0</xdr:rowOff>
    </xdr:to>
    <xdr:sp macro="" textlink="">
      <xdr:nvSpPr>
        <xdr:cNvPr id="2" name="Double Bracket 1"/>
        <xdr:cNvSpPr/>
      </xdr:nvSpPr>
      <xdr:spPr>
        <a:xfrm>
          <a:off x="619125" y="409575"/>
          <a:ext cx="600075" cy="5905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3</xdr:col>
      <xdr:colOff>600075</xdr:colOff>
      <xdr:row>4</xdr:row>
      <xdr:rowOff>171450</xdr:rowOff>
    </xdr:to>
    <xdr:sp macro="" textlink="">
      <xdr:nvSpPr>
        <xdr:cNvPr id="3" name="Double Bracket 2"/>
        <xdr:cNvSpPr/>
      </xdr:nvSpPr>
      <xdr:spPr>
        <a:xfrm>
          <a:off x="1828800" y="390525"/>
          <a:ext cx="600075" cy="5905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2</xdr:row>
      <xdr:rowOff>0</xdr:rowOff>
    </xdr:from>
    <xdr:to>
      <xdr:col>5</xdr:col>
      <xdr:colOff>600075</xdr:colOff>
      <xdr:row>4</xdr:row>
      <xdr:rowOff>171450</xdr:rowOff>
    </xdr:to>
    <xdr:sp macro="" textlink="">
      <xdr:nvSpPr>
        <xdr:cNvPr id="4" name="Double Bracket 3"/>
        <xdr:cNvSpPr/>
      </xdr:nvSpPr>
      <xdr:spPr>
        <a:xfrm>
          <a:off x="3048000" y="390525"/>
          <a:ext cx="600075" cy="5905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9525</xdr:colOff>
      <xdr:row>6</xdr:row>
      <xdr:rowOff>19050</xdr:rowOff>
    </xdr:from>
    <xdr:to>
      <xdr:col>2</xdr:col>
      <xdr:colOff>0</xdr:colOff>
      <xdr:row>9</xdr:row>
      <xdr:rowOff>0</xdr:rowOff>
    </xdr:to>
    <xdr:sp macro="" textlink="">
      <xdr:nvSpPr>
        <xdr:cNvPr id="5" name="Double Bracket 4"/>
        <xdr:cNvSpPr/>
      </xdr:nvSpPr>
      <xdr:spPr>
        <a:xfrm>
          <a:off x="619125" y="409575"/>
          <a:ext cx="600075" cy="5905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600075</xdr:colOff>
      <xdr:row>13</xdr:row>
      <xdr:rowOff>19050</xdr:rowOff>
    </xdr:to>
    <xdr:sp macro="" textlink="">
      <xdr:nvSpPr>
        <xdr:cNvPr id="6" name="Double Bracket 5"/>
        <xdr:cNvSpPr/>
      </xdr:nvSpPr>
      <xdr:spPr>
        <a:xfrm>
          <a:off x="609600" y="1800225"/>
          <a:ext cx="600075" cy="5905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600075</xdr:colOff>
      <xdr:row>17</xdr:row>
      <xdr:rowOff>19050</xdr:rowOff>
    </xdr:to>
    <xdr:sp macro="" textlink="">
      <xdr:nvSpPr>
        <xdr:cNvPr id="7" name="Double Bracket 6"/>
        <xdr:cNvSpPr/>
      </xdr:nvSpPr>
      <xdr:spPr>
        <a:xfrm>
          <a:off x="609600" y="2790825"/>
          <a:ext cx="600075" cy="6286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1</xdr:col>
      <xdr:colOff>600075</xdr:colOff>
      <xdr:row>21</xdr:row>
      <xdr:rowOff>57150</xdr:rowOff>
    </xdr:to>
    <xdr:sp macro="" textlink="">
      <xdr:nvSpPr>
        <xdr:cNvPr id="8" name="Double Bracket 7"/>
        <xdr:cNvSpPr/>
      </xdr:nvSpPr>
      <xdr:spPr>
        <a:xfrm>
          <a:off x="609600" y="3590925"/>
          <a:ext cx="600075" cy="6286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600075</xdr:colOff>
      <xdr:row>21</xdr:row>
      <xdr:rowOff>57150</xdr:rowOff>
    </xdr:to>
    <xdr:sp macro="" textlink="">
      <xdr:nvSpPr>
        <xdr:cNvPr id="9" name="Double Bracket 8"/>
        <xdr:cNvSpPr/>
      </xdr:nvSpPr>
      <xdr:spPr>
        <a:xfrm>
          <a:off x="2438400" y="3590925"/>
          <a:ext cx="600075" cy="6286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600075</xdr:colOff>
      <xdr:row>21</xdr:row>
      <xdr:rowOff>57150</xdr:rowOff>
    </xdr:to>
    <xdr:sp macro="" textlink="">
      <xdr:nvSpPr>
        <xdr:cNvPr id="10" name="Double Bracket 9"/>
        <xdr:cNvSpPr/>
      </xdr:nvSpPr>
      <xdr:spPr>
        <a:xfrm>
          <a:off x="4267200" y="3590925"/>
          <a:ext cx="600075" cy="6286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19050</xdr:rowOff>
    </xdr:from>
    <xdr:to>
      <xdr:col>4</xdr:col>
      <xdr:colOff>571500</xdr:colOff>
      <xdr:row>8</xdr:row>
      <xdr:rowOff>28575</xdr:rowOff>
    </xdr:to>
    <xdr:sp macro="" textlink="">
      <xdr:nvSpPr>
        <xdr:cNvPr id="2" name="Double Bracket 1"/>
        <xdr:cNvSpPr/>
      </xdr:nvSpPr>
      <xdr:spPr>
        <a:xfrm>
          <a:off x="628650" y="80962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19050</xdr:colOff>
      <xdr:row>11</xdr:row>
      <xdr:rowOff>19050</xdr:rowOff>
    </xdr:from>
    <xdr:to>
      <xdr:col>3</xdr:col>
      <xdr:colOff>571500</xdr:colOff>
      <xdr:row>15</xdr:row>
      <xdr:rowOff>28575</xdr:rowOff>
    </xdr:to>
    <xdr:sp macro="" textlink="">
      <xdr:nvSpPr>
        <xdr:cNvPr id="3" name="Double Bracket 2"/>
        <xdr:cNvSpPr/>
      </xdr:nvSpPr>
      <xdr:spPr>
        <a:xfrm>
          <a:off x="628650" y="80962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8</xdr:col>
      <xdr:colOff>552450</xdr:colOff>
      <xdr:row>15</xdr:row>
      <xdr:rowOff>9525</xdr:rowOff>
    </xdr:to>
    <xdr:sp macro="" textlink="">
      <xdr:nvSpPr>
        <xdr:cNvPr id="4" name="Double Bracket 3"/>
        <xdr:cNvSpPr/>
      </xdr:nvSpPr>
      <xdr:spPr>
        <a:xfrm>
          <a:off x="3048000" y="2124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400050</xdr:colOff>
      <xdr:row>11</xdr:row>
      <xdr:rowOff>0</xdr:rowOff>
    </xdr:from>
    <xdr:to>
      <xdr:col>13</xdr:col>
      <xdr:colOff>400050</xdr:colOff>
      <xdr:row>15</xdr:row>
      <xdr:rowOff>9525</xdr:rowOff>
    </xdr:to>
    <xdr:sp macro="" textlink="">
      <xdr:nvSpPr>
        <xdr:cNvPr id="5" name="Double Bracket 4"/>
        <xdr:cNvSpPr/>
      </xdr:nvSpPr>
      <xdr:spPr>
        <a:xfrm>
          <a:off x="4171950" y="2124075"/>
          <a:ext cx="167640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19050</xdr:colOff>
      <xdr:row>17</xdr:row>
      <xdr:rowOff>19050</xdr:rowOff>
    </xdr:from>
    <xdr:to>
      <xdr:col>3</xdr:col>
      <xdr:colOff>571500</xdr:colOff>
      <xdr:row>21</xdr:row>
      <xdr:rowOff>28575</xdr:rowOff>
    </xdr:to>
    <xdr:sp macro="" textlink="">
      <xdr:nvSpPr>
        <xdr:cNvPr id="6" name="Double Bracket 5"/>
        <xdr:cNvSpPr/>
      </xdr:nvSpPr>
      <xdr:spPr>
        <a:xfrm>
          <a:off x="19050" y="214312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8</xdr:col>
      <xdr:colOff>552450</xdr:colOff>
      <xdr:row>21</xdr:row>
      <xdr:rowOff>9525</xdr:rowOff>
    </xdr:to>
    <xdr:sp macro="" textlink="">
      <xdr:nvSpPr>
        <xdr:cNvPr id="7" name="Double Bracket 6"/>
        <xdr:cNvSpPr/>
      </xdr:nvSpPr>
      <xdr:spPr>
        <a:xfrm>
          <a:off x="3048000" y="2124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400050</xdr:colOff>
      <xdr:row>17</xdr:row>
      <xdr:rowOff>0</xdr:rowOff>
    </xdr:from>
    <xdr:to>
      <xdr:col>13</xdr:col>
      <xdr:colOff>400050</xdr:colOff>
      <xdr:row>21</xdr:row>
      <xdr:rowOff>9525</xdr:rowOff>
    </xdr:to>
    <xdr:sp macro="" textlink="">
      <xdr:nvSpPr>
        <xdr:cNvPr id="8" name="Double Bracket 7"/>
        <xdr:cNvSpPr/>
      </xdr:nvSpPr>
      <xdr:spPr>
        <a:xfrm>
          <a:off x="4171950" y="3267075"/>
          <a:ext cx="167640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38100</xdr:colOff>
      <xdr:row>23</xdr:row>
      <xdr:rowOff>0</xdr:rowOff>
    </xdr:from>
    <xdr:to>
      <xdr:col>3</xdr:col>
      <xdr:colOff>590550</xdr:colOff>
      <xdr:row>27</xdr:row>
      <xdr:rowOff>9525</xdr:rowOff>
    </xdr:to>
    <xdr:sp macro="" textlink="">
      <xdr:nvSpPr>
        <xdr:cNvPr id="9" name="Double Bracket 8"/>
        <xdr:cNvSpPr/>
      </xdr:nvSpPr>
      <xdr:spPr>
        <a:xfrm>
          <a:off x="38100" y="4410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552450</xdr:colOff>
      <xdr:row>27</xdr:row>
      <xdr:rowOff>9525</xdr:rowOff>
    </xdr:to>
    <xdr:sp macro="" textlink="">
      <xdr:nvSpPr>
        <xdr:cNvPr id="10" name="Double Bracket 9"/>
        <xdr:cNvSpPr/>
      </xdr:nvSpPr>
      <xdr:spPr>
        <a:xfrm>
          <a:off x="3048000" y="3267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400050</xdr:colOff>
      <xdr:row>23</xdr:row>
      <xdr:rowOff>0</xdr:rowOff>
    </xdr:from>
    <xdr:to>
      <xdr:col>13</xdr:col>
      <xdr:colOff>400050</xdr:colOff>
      <xdr:row>27</xdr:row>
      <xdr:rowOff>9525</xdr:rowOff>
    </xdr:to>
    <xdr:sp macro="" textlink="">
      <xdr:nvSpPr>
        <xdr:cNvPr id="11" name="Double Bracket 10"/>
        <xdr:cNvSpPr/>
      </xdr:nvSpPr>
      <xdr:spPr>
        <a:xfrm>
          <a:off x="4171950" y="4410075"/>
          <a:ext cx="167640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47625</xdr:colOff>
      <xdr:row>29</xdr:row>
      <xdr:rowOff>0</xdr:rowOff>
    </xdr:from>
    <xdr:to>
      <xdr:col>3</xdr:col>
      <xdr:colOff>600075</xdr:colOff>
      <xdr:row>33</xdr:row>
      <xdr:rowOff>9525</xdr:rowOff>
    </xdr:to>
    <xdr:sp macro="" textlink="">
      <xdr:nvSpPr>
        <xdr:cNvPr id="12" name="Double Bracket 11"/>
        <xdr:cNvSpPr/>
      </xdr:nvSpPr>
      <xdr:spPr>
        <a:xfrm>
          <a:off x="47625" y="5553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8</xdr:col>
      <xdr:colOff>552450</xdr:colOff>
      <xdr:row>33</xdr:row>
      <xdr:rowOff>9525</xdr:rowOff>
    </xdr:to>
    <xdr:sp macro="" textlink="">
      <xdr:nvSpPr>
        <xdr:cNvPr id="13" name="Double Bracket 12"/>
        <xdr:cNvSpPr/>
      </xdr:nvSpPr>
      <xdr:spPr>
        <a:xfrm>
          <a:off x="3048000" y="5553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400050</xdr:colOff>
      <xdr:row>29</xdr:row>
      <xdr:rowOff>0</xdr:rowOff>
    </xdr:from>
    <xdr:to>
      <xdr:col>13</xdr:col>
      <xdr:colOff>400050</xdr:colOff>
      <xdr:row>33</xdr:row>
      <xdr:rowOff>9525</xdr:rowOff>
    </xdr:to>
    <xdr:sp macro="" textlink="">
      <xdr:nvSpPr>
        <xdr:cNvPr id="14" name="Double Bracket 13"/>
        <xdr:cNvSpPr/>
      </xdr:nvSpPr>
      <xdr:spPr>
        <a:xfrm>
          <a:off x="4171950" y="5553075"/>
          <a:ext cx="167640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38100</xdr:colOff>
      <xdr:row>35</xdr:row>
      <xdr:rowOff>0</xdr:rowOff>
    </xdr:from>
    <xdr:to>
      <xdr:col>3</xdr:col>
      <xdr:colOff>590550</xdr:colOff>
      <xdr:row>39</xdr:row>
      <xdr:rowOff>9525</xdr:rowOff>
    </xdr:to>
    <xdr:sp macro="" textlink="">
      <xdr:nvSpPr>
        <xdr:cNvPr id="15" name="Double Bracket 14"/>
        <xdr:cNvSpPr/>
      </xdr:nvSpPr>
      <xdr:spPr>
        <a:xfrm>
          <a:off x="38100" y="6696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38100</xdr:colOff>
      <xdr:row>35</xdr:row>
      <xdr:rowOff>0</xdr:rowOff>
    </xdr:from>
    <xdr:to>
      <xdr:col>8</xdr:col>
      <xdr:colOff>590550</xdr:colOff>
      <xdr:row>39</xdr:row>
      <xdr:rowOff>9525</xdr:rowOff>
    </xdr:to>
    <xdr:sp macro="" textlink="">
      <xdr:nvSpPr>
        <xdr:cNvPr id="16" name="Double Bracket 15"/>
        <xdr:cNvSpPr/>
      </xdr:nvSpPr>
      <xdr:spPr>
        <a:xfrm>
          <a:off x="38100" y="6696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400050</xdr:colOff>
      <xdr:row>35</xdr:row>
      <xdr:rowOff>0</xdr:rowOff>
    </xdr:from>
    <xdr:to>
      <xdr:col>13</xdr:col>
      <xdr:colOff>400050</xdr:colOff>
      <xdr:row>39</xdr:row>
      <xdr:rowOff>9525</xdr:rowOff>
    </xdr:to>
    <xdr:sp macro="" textlink="">
      <xdr:nvSpPr>
        <xdr:cNvPr id="17" name="Double Bracket 16"/>
        <xdr:cNvSpPr/>
      </xdr:nvSpPr>
      <xdr:spPr>
        <a:xfrm>
          <a:off x="4171950" y="6696075"/>
          <a:ext cx="167640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38100</xdr:colOff>
      <xdr:row>41</xdr:row>
      <xdr:rowOff>0</xdr:rowOff>
    </xdr:from>
    <xdr:to>
      <xdr:col>3</xdr:col>
      <xdr:colOff>590550</xdr:colOff>
      <xdr:row>45</xdr:row>
      <xdr:rowOff>9525</xdr:rowOff>
    </xdr:to>
    <xdr:sp macro="" textlink="">
      <xdr:nvSpPr>
        <xdr:cNvPr id="18" name="Double Bracket 17"/>
        <xdr:cNvSpPr/>
      </xdr:nvSpPr>
      <xdr:spPr>
        <a:xfrm>
          <a:off x="38100" y="7839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8</xdr:col>
      <xdr:colOff>552450</xdr:colOff>
      <xdr:row>45</xdr:row>
      <xdr:rowOff>9525</xdr:rowOff>
    </xdr:to>
    <xdr:sp macro="" textlink="">
      <xdr:nvSpPr>
        <xdr:cNvPr id="19" name="Double Bracket 18"/>
        <xdr:cNvSpPr/>
      </xdr:nvSpPr>
      <xdr:spPr>
        <a:xfrm>
          <a:off x="3048000" y="7839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400050</xdr:colOff>
      <xdr:row>41</xdr:row>
      <xdr:rowOff>0</xdr:rowOff>
    </xdr:from>
    <xdr:to>
      <xdr:col>13</xdr:col>
      <xdr:colOff>400050</xdr:colOff>
      <xdr:row>45</xdr:row>
      <xdr:rowOff>9525</xdr:rowOff>
    </xdr:to>
    <xdr:sp macro="" textlink="">
      <xdr:nvSpPr>
        <xdr:cNvPr id="20" name="Double Bracket 19"/>
        <xdr:cNvSpPr/>
      </xdr:nvSpPr>
      <xdr:spPr>
        <a:xfrm>
          <a:off x="4171950" y="7839075"/>
          <a:ext cx="167640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38100</xdr:colOff>
      <xdr:row>47</xdr:row>
      <xdr:rowOff>0</xdr:rowOff>
    </xdr:from>
    <xdr:to>
      <xdr:col>3</xdr:col>
      <xdr:colOff>590550</xdr:colOff>
      <xdr:row>51</xdr:row>
      <xdr:rowOff>9525</xdr:rowOff>
    </xdr:to>
    <xdr:sp macro="" textlink="">
      <xdr:nvSpPr>
        <xdr:cNvPr id="21" name="Double Bracket 20"/>
        <xdr:cNvSpPr/>
      </xdr:nvSpPr>
      <xdr:spPr>
        <a:xfrm>
          <a:off x="38100" y="8982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47</xdr:row>
      <xdr:rowOff>0</xdr:rowOff>
    </xdr:from>
    <xdr:to>
      <xdr:col>8</xdr:col>
      <xdr:colOff>552450</xdr:colOff>
      <xdr:row>51</xdr:row>
      <xdr:rowOff>9525</xdr:rowOff>
    </xdr:to>
    <xdr:sp macro="" textlink="">
      <xdr:nvSpPr>
        <xdr:cNvPr id="22" name="Double Bracket 21"/>
        <xdr:cNvSpPr/>
      </xdr:nvSpPr>
      <xdr:spPr>
        <a:xfrm>
          <a:off x="3048000" y="8982075"/>
          <a:ext cx="238125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390525</xdr:colOff>
      <xdr:row>47</xdr:row>
      <xdr:rowOff>0</xdr:rowOff>
    </xdr:from>
    <xdr:to>
      <xdr:col>13</xdr:col>
      <xdr:colOff>390525</xdr:colOff>
      <xdr:row>51</xdr:row>
      <xdr:rowOff>9525</xdr:rowOff>
    </xdr:to>
    <xdr:sp macro="" textlink="">
      <xdr:nvSpPr>
        <xdr:cNvPr id="23" name="Double Bracket 22"/>
        <xdr:cNvSpPr/>
      </xdr:nvSpPr>
      <xdr:spPr>
        <a:xfrm>
          <a:off x="4162425" y="8982075"/>
          <a:ext cx="1676400" cy="7715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6</xdr:row>
      <xdr:rowOff>171450</xdr:rowOff>
    </xdr:from>
    <xdr:to>
      <xdr:col>2</xdr:col>
      <xdr:colOff>600075</xdr:colOff>
      <xdr:row>10</xdr:row>
      <xdr:rowOff>9525</xdr:rowOff>
    </xdr:to>
    <xdr:sp macro="" textlink="">
      <xdr:nvSpPr>
        <xdr:cNvPr id="2" name="Double Bracket 1"/>
        <xdr:cNvSpPr/>
      </xdr:nvSpPr>
      <xdr:spPr>
        <a:xfrm>
          <a:off x="76200" y="192405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523875</xdr:colOff>
      <xdr:row>10</xdr:row>
      <xdr:rowOff>28575</xdr:rowOff>
    </xdr:to>
    <xdr:sp macro="" textlink="">
      <xdr:nvSpPr>
        <xdr:cNvPr id="3" name="Double Bracket 2"/>
        <xdr:cNvSpPr/>
      </xdr:nvSpPr>
      <xdr:spPr>
        <a:xfrm>
          <a:off x="2438400" y="1943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10</xdr:col>
      <xdr:colOff>523875</xdr:colOff>
      <xdr:row>10</xdr:row>
      <xdr:rowOff>28575</xdr:rowOff>
    </xdr:to>
    <xdr:sp macro="" textlink="">
      <xdr:nvSpPr>
        <xdr:cNvPr id="4" name="Double Bracket 3"/>
        <xdr:cNvSpPr/>
      </xdr:nvSpPr>
      <xdr:spPr>
        <a:xfrm>
          <a:off x="4876800" y="1943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47625</xdr:colOff>
      <xdr:row>12</xdr:row>
      <xdr:rowOff>0</xdr:rowOff>
    </xdr:from>
    <xdr:to>
      <xdr:col>2</xdr:col>
      <xdr:colOff>571500</xdr:colOff>
      <xdr:row>15</xdr:row>
      <xdr:rowOff>28575</xdr:rowOff>
    </xdr:to>
    <xdr:sp macro="" textlink="">
      <xdr:nvSpPr>
        <xdr:cNvPr id="5" name="Double Bracket 4"/>
        <xdr:cNvSpPr/>
      </xdr:nvSpPr>
      <xdr:spPr>
        <a:xfrm>
          <a:off x="47625" y="28956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523875</xdr:colOff>
      <xdr:row>15</xdr:row>
      <xdr:rowOff>28575</xdr:rowOff>
    </xdr:to>
    <xdr:sp macro="" textlink="">
      <xdr:nvSpPr>
        <xdr:cNvPr id="6" name="Double Bracket 5"/>
        <xdr:cNvSpPr/>
      </xdr:nvSpPr>
      <xdr:spPr>
        <a:xfrm>
          <a:off x="2438400" y="28956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10</xdr:col>
      <xdr:colOff>523875</xdr:colOff>
      <xdr:row>15</xdr:row>
      <xdr:rowOff>28575</xdr:rowOff>
    </xdr:to>
    <xdr:sp macro="" textlink="">
      <xdr:nvSpPr>
        <xdr:cNvPr id="7" name="Double Bracket 6"/>
        <xdr:cNvSpPr/>
      </xdr:nvSpPr>
      <xdr:spPr>
        <a:xfrm>
          <a:off x="4876800" y="28956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47625</xdr:colOff>
      <xdr:row>17</xdr:row>
      <xdr:rowOff>0</xdr:rowOff>
    </xdr:from>
    <xdr:to>
      <xdr:col>2</xdr:col>
      <xdr:colOff>571500</xdr:colOff>
      <xdr:row>20</xdr:row>
      <xdr:rowOff>28575</xdr:rowOff>
    </xdr:to>
    <xdr:sp macro="" textlink="">
      <xdr:nvSpPr>
        <xdr:cNvPr id="8" name="Double Bracket 7"/>
        <xdr:cNvSpPr/>
      </xdr:nvSpPr>
      <xdr:spPr>
        <a:xfrm>
          <a:off x="47625" y="3848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6</xdr:col>
      <xdr:colOff>523875</xdr:colOff>
      <xdr:row>20</xdr:row>
      <xdr:rowOff>28575</xdr:rowOff>
    </xdr:to>
    <xdr:sp macro="" textlink="">
      <xdr:nvSpPr>
        <xdr:cNvPr id="9" name="Double Bracket 8"/>
        <xdr:cNvSpPr/>
      </xdr:nvSpPr>
      <xdr:spPr>
        <a:xfrm>
          <a:off x="2438400" y="3848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523875</xdr:colOff>
      <xdr:row>20</xdr:row>
      <xdr:rowOff>28575</xdr:rowOff>
    </xdr:to>
    <xdr:sp macro="" textlink="">
      <xdr:nvSpPr>
        <xdr:cNvPr id="10" name="Double Bracket 9"/>
        <xdr:cNvSpPr/>
      </xdr:nvSpPr>
      <xdr:spPr>
        <a:xfrm>
          <a:off x="4876800" y="3848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47625</xdr:colOff>
      <xdr:row>22</xdr:row>
      <xdr:rowOff>0</xdr:rowOff>
    </xdr:from>
    <xdr:to>
      <xdr:col>2</xdr:col>
      <xdr:colOff>571500</xdr:colOff>
      <xdr:row>25</xdr:row>
      <xdr:rowOff>28575</xdr:rowOff>
    </xdr:to>
    <xdr:sp macro="" textlink="">
      <xdr:nvSpPr>
        <xdr:cNvPr id="11" name="Double Bracket 10"/>
        <xdr:cNvSpPr/>
      </xdr:nvSpPr>
      <xdr:spPr>
        <a:xfrm>
          <a:off x="47625" y="48006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6</xdr:col>
      <xdr:colOff>523875</xdr:colOff>
      <xdr:row>25</xdr:row>
      <xdr:rowOff>28575</xdr:rowOff>
    </xdr:to>
    <xdr:sp macro="" textlink="">
      <xdr:nvSpPr>
        <xdr:cNvPr id="12" name="Double Bracket 11"/>
        <xdr:cNvSpPr/>
      </xdr:nvSpPr>
      <xdr:spPr>
        <a:xfrm>
          <a:off x="2438400" y="48006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10</xdr:col>
      <xdr:colOff>523875</xdr:colOff>
      <xdr:row>25</xdr:row>
      <xdr:rowOff>28575</xdr:rowOff>
    </xdr:to>
    <xdr:sp macro="" textlink="">
      <xdr:nvSpPr>
        <xdr:cNvPr id="13" name="Double Bracket 12"/>
        <xdr:cNvSpPr/>
      </xdr:nvSpPr>
      <xdr:spPr>
        <a:xfrm>
          <a:off x="4876800" y="48006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47625</xdr:colOff>
      <xdr:row>27</xdr:row>
      <xdr:rowOff>0</xdr:rowOff>
    </xdr:from>
    <xdr:to>
      <xdr:col>2</xdr:col>
      <xdr:colOff>571500</xdr:colOff>
      <xdr:row>30</xdr:row>
      <xdr:rowOff>28575</xdr:rowOff>
    </xdr:to>
    <xdr:sp macro="" textlink="">
      <xdr:nvSpPr>
        <xdr:cNvPr id="14" name="Double Bracket 13"/>
        <xdr:cNvSpPr/>
      </xdr:nvSpPr>
      <xdr:spPr>
        <a:xfrm>
          <a:off x="47625" y="5753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27</xdr:row>
      <xdr:rowOff>0</xdr:rowOff>
    </xdr:from>
    <xdr:to>
      <xdr:col>6</xdr:col>
      <xdr:colOff>523875</xdr:colOff>
      <xdr:row>30</xdr:row>
      <xdr:rowOff>28575</xdr:rowOff>
    </xdr:to>
    <xdr:sp macro="" textlink="">
      <xdr:nvSpPr>
        <xdr:cNvPr id="15" name="Double Bracket 14"/>
        <xdr:cNvSpPr/>
      </xdr:nvSpPr>
      <xdr:spPr>
        <a:xfrm>
          <a:off x="2438400" y="5753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27</xdr:row>
      <xdr:rowOff>0</xdr:rowOff>
    </xdr:from>
    <xdr:to>
      <xdr:col>10</xdr:col>
      <xdr:colOff>523875</xdr:colOff>
      <xdr:row>30</xdr:row>
      <xdr:rowOff>28575</xdr:rowOff>
    </xdr:to>
    <xdr:sp macro="" textlink="">
      <xdr:nvSpPr>
        <xdr:cNvPr id="16" name="Double Bracket 15"/>
        <xdr:cNvSpPr/>
      </xdr:nvSpPr>
      <xdr:spPr>
        <a:xfrm>
          <a:off x="4876800" y="5753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47625</xdr:colOff>
      <xdr:row>32</xdr:row>
      <xdr:rowOff>0</xdr:rowOff>
    </xdr:from>
    <xdr:to>
      <xdr:col>2</xdr:col>
      <xdr:colOff>571500</xdr:colOff>
      <xdr:row>35</xdr:row>
      <xdr:rowOff>28575</xdr:rowOff>
    </xdr:to>
    <xdr:sp macro="" textlink="">
      <xdr:nvSpPr>
        <xdr:cNvPr id="17" name="Double Bracket 16"/>
        <xdr:cNvSpPr/>
      </xdr:nvSpPr>
      <xdr:spPr>
        <a:xfrm>
          <a:off x="47625" y="67056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6</xdr:col>
      <xdr:colOff>523875</xdr:colOff>
      <xdr:row>35</xdr:row>
      <xdr:rowOff>28575</xdr:rowOff>
    </xdr:to>
    <xdr:sp macro="" textlink="">
      <xdr:nvSpPr>
        <xdr:cNvPr id="18" name="Double Bracket 17"/>
        <xdr:cNvSpPr/>
      </xdr:nvSpPr>
      <xdr:spPr>
        <a:xfrm>
          <a:off x="2438400" y="67056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32</xdr:row>
      <xdr:rowOff>0</xdr:rowOff>
    </xdr:from>
    <xdr:to>
      <xdr:col>10</xdr:col>
      <xdr:colOff>523875</xdr:colOff>
      <xdr:row>35</xdr:row>
      <xdr:rowOff>28575</xdr:rowOff>
    </xdr:to>
    <xdr:sp macro="" textlink="">
      <xdr:nvSpPr>
        <xdr:cNvPr id="19" name="Double Bracket 18"/>
        <xdr:cNvSpPr/>
      </xdr:nvSpPr>
      <xdr:spPr>
        <a:xfrm>
          <a:off x="4876800" y="67056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38100</xdr:colOff>
      <xdr:row>37</xdr:row>
      <xdr:rowOff>0</xdr:rowOff>
    </xdr:from>
    <xdr:to>
      <xdr:col>2</xdr:col>
      <xdr:colOff>561975</xdr:colOff>
      <xdr:row>40</xdr:row>
      <xdr:rowOff>28575</xdr:rowOff>
    </xdr:to>
    <xdr:sp macro="" textlink="">
      <xdr:nvSpPr>
        <xdr:cNvPr id="20" name="Double Bracket 19"/>
        <xdr:cNvSpPr/>
      </xdr:nvSpPr>
      <xdr:spPr>
        <a:xfrm>
          <a:off x="38100" y="7658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37</xdr:row>
      <xdr:rowOff>0</xdr:rowOff>
    </xdr:from>
    <xdr:to>
      <xdr:col>6</xdr:col>
      <xdr:colOff>523875</xdr:colOff>
      <xdr:row>40</xdr:row>
      <xdr:rowOff>28575</xdr:rowOff>
    </xdr:to>
    <xdr:sp macro="" textlink="">
      <xdr:nvSpPr>
        <xdr:cNvPr id="21" name="Double Bracket 20"/>
        <xdr:cNvSpPr/>
      </xdr:nvSpPr>
      <xdr:spPr>
        <a:xfrm>
          <a:off x="2438400" y="7658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10</xdr:col>
      <xdr:colOff>523875</xdr:colOff>
      <xdr:row>40</xdr:row>
      <xdr:rowOff>28575</xdr:rowOff>
    </xdr:to>
    <xdr:sp macro="" textlink="">
      <xdr:nvSpPr>
        <xdr:cNvPr id="22" name="Double Bracket 21"/>
        <xdr:cNvSpPr/>
      </xdr:nvSpPr>
      <xdr:spPr>
        <a:xfrm>
          <a:off x="4876800" y="7658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523875</xdr:colOff>
      <xdr:row>5</xdr:row>
      <xdr:rowOff>0</xdr:rowOff>
    </xdr:to>
    <xdr:sp macro="" textlink="">
      <xdr:nvSpPr>
        <xdr:cNvPr id="23" name="Double Bracket 22"/>
        <xdr:cNvSpPr/>
      </xdr:nvSpPr>
      <xdr:spPr>
        <a:xfrm>
          <a:off x="609600" y="800100"/>
          <a:ext cx="1743075" cy="600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19050</xdr:rowOff>
    </xdr:from>
    <xdr:to>
      <xdr:col>4</xdr:col>
      <xdr:colOff>581025</xdr:colOff>
      <xdr:row>6</xdr:row>
      <xdr:rowOff>9525</xdr:rowOff>
    </xdr:to>
    <xdr:sp macro="" textlink="">
      <xdr:nvSpPr>
        <xdr:cNvPr id="2" name="Double Bracket 1"/>
        <xdr:cNvSpPr/>
      </xdr:nvSpPr>
      <xdr:spPr>
        <a:xfrm>
          <a:off x="638175" y="409575"/>
          <a:ext cx="2381250" cy="7524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2</xdr:row>
      <xdr:rowOff>1</xdr:rowOff>
    </xdr:from>
    <xdr:to>
      <xdr:col>7</xdr:col>
      <xdr:colOff>0</xdr:colOff>
      <xdr:row>5</xdr:row>
      <xdr:rowOff>219075</xdr:rowOff>
    </xdr:to>
    <xdr:sp macro="" textlink="">
      <xdr:nvSpPr>
        <xdr:cNvPr id="3" name="Double Bracket 2"/>
        <xdr:cNvSpPr/>
      </xdr:nvSpPr>
      <xdr:spPr>
        <a:xfrm>
          <a:off x="3657600" y="390526"/>
          <a:ext cx="609600" cy="904874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5</xdr:col>
      <xdr:colOff>590550</xdr:colOff>
      <xdr:row>35</xdr:row>
      <xdr:rowOff>38100</xdr:rowOff>
    </xdr:to>
    <xdr:sp macro="" textlink="">
      <xdr:nvSpPr>
        <xdr:cNvPr id="4" name="Double Bracket 3"/>
        <xdr:cNvSpPr/>
      </xdr:nvSpPr>
      <xdr:spPr>
        <a:xfrm>
          <a:off x="3048000" y="6257925"/>
          <a:ext cx="590550" cy="9525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609599</xdr:colOff>
      <xdr:row>39</xdr:row>
      <xdr:rowOff>0</xdr:rowOff>
    </xdr:from>
    <xdr:to>
      <xdr:col>5</xdr:col>
      <xdr:colOff>9524</xdr:colOff>
      <xdr:row>43</xdr:row>
      <xdr:rowOff>28575</xdr:rowOff>
    </xdr:to>
    <xdr:sp macro="" textlink="">
      <xdr:nvSpPr>
        <xdr:cNvPr id="5" name="Double Bracket 4"/>
        <xdr:cNvSpPr/>
      </xdr:nvSpPr>
      <xdr:spPr>
        <a:xfrm>
          <a:off x="1219199" y="8124825"/>
          <a:ext cx="2447925" cy="7905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39</xdr:row>
      <xdr:rowOff>1</xdr:rowOff>
    </xdr:from>
    <xdr:to>
      <xdr:col>8</xdr:col>
      <xdr:colOff>0</xdr:colOff>
      <xdr:row>42</xdr:row>
      <xdr:rowOff>171451</xdr:rowOff>
    </xdr:to>
    <xdr:sp macro="" textlink="">
      <xdr:nvSpPr>
        <xdr:cNvPr id="6" name="Double Bracket 5"/>
        <xdr:cNvSpPr/>
      </xdr:nvSpPr>
      <xdr:spPr>
        <a:xfrm>
          <a:off x="4235824" y="392207"/>
          <a:ext cx="605117" cy="7429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609599</xdr:colOff>
      <xdr:row>44</xdr:row>
      <xdr:rowOff>0</xdr:rowOff>
    </xdr:from>
    <xdr:to>
      <xdr:col>3</xdr:col>
      <xdr:colOff>9524</xdr:colOff>
      <xdr:row>48</xdr:row>
      <xdr:rowOff>28575</xdr:rowOff>
    </xdr:to>
    <xdr:sp macro="" textlink="">
      <xdr:nvSpPr>
        <xdr:cNvPr id="7" name="Double Bracket 6"/>
        <xdr:cNvSpPr/>
      </xdr:nvSpPr>
      <xdr:spPr>
        <a:xfrm>
          <a:off x="1219199" y="9105900"/>
          <a:ext cx="619125" cy="9429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561975</xdr:colOff>
      <xdr:row>51</xdr:row>
      <xdr:rowOff>0</xdr:rowOff>
    </xdr:from>
    <xdr:to>
      <xdr:col>9</xdr:col>
      <xdr:colOff>523875</xdr:colOff>
      <xdr:row>55</xdr:row>
      <xdr:rowOff>19050</xdr:rowOff>
    </xdr:to>
    <xdr:sp macro="" textlink="">
      <xdr:nvSpPr>
        <xdr:cNvPr id="10" name="Double Bracket 9"/>
        <xdr:cNvSpPr/>
      </xdr:nvSpPr>
      <xdr:spPr>
        <a:xfrm>
          <a:off x="561975" y="10391775"/>
          <a:ext cx="5105400" cy="7810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523875</xdr:colOff>
      <xdr:row>58</xdr:row>
      <xdr:rowOff>0</xdr:rowOff>
    </xdr:from>
    <xdr:to>
      <xdr:col>9</xdr:col>
      <xdr:colOff>523875</xdr:colOff>
      <xdr:row>62</xdr:row>
      <xdr:rowOff>19050</xdr:rowOff>
    </xdr:to>
    <xdr:sp macro="" textlink="">
      <xdr:nvSpPr>
        <xdr:cNvPr id="11" name="Double Bracket 10"/>
        <xdr:cNvSpPr/>
      </xdr:nvSpPr>
      <xdr:spPr>
        <a:xfrm>
          <a:off x="523875" y="11725275"/>
          <a:ext cx="5143500" cy="7810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523875</xdr:colOff>
      <xdr:row>65</xdr:row>
      <xdr:rowOff>0</xdr:rowOff>
    </xdr:from>
    <xdr:to>
      <xdr:col>9</xdr:col>
      <xdr:colOff>523875</xdr:colOff>
      <xdr:row>69</xdr:row>
      <xdr:rowOff>19050</xdr:rowOff>
    </xdr:to>
    <xdr:sp macro="" textlink="">
      <xdr:nvSpPr>
        <xdr:cNvPr id="12" name="Double Bracket 11"/>
        <xdr:cNvSpPr/>
      </xdr:nvSpPr>
      <xdr:spPr>
        <a:xfrm>
          <a:off x="523875" y="13058775"/>
          <a:ext cx="5143500" cy="7810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523875</xdr:colOff>
      <xdr:row>72</xdr:row>
      <xdr:rowOff>0</xdr:rowOff>
    </xdr:from>
    <xdr:to>
      <xdr:col>9</xdr:col>
      <xdr:colOff>523875</xdr:colOff>
      <xdr:row>76</xdr:row>
      <xdr:rowOff>19050</xdr:rowOff>
    </xdr:to>
    <xdr:sp macro="" textlink="">
      <xdr:nvSpPr>
        <xdr:cNvPr id="13" name="Double Bracket 12"/>
        <xdr:cNvSpPr/>
      </xdr:nvSpPr>
      <xdr:spPr>
        <a:xfrm>
          <a:off x="523875" y="14392275"/>
          <a:ext cx="5143500" cy="7810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533400</xdr:colOff>
      <xdr:row>79</xdr:row>
      <xdr:rowOff>0</xdr:rowOff>
    </xdr:from>
    <xdr:to>
      <xdr:col>9</xdr:col>
      <xdr:colOff>533400</xdr:colOff>
      <xdr:row>83</xdr:row>
      <xdr:rowOff>19050</xdr:rowOff>
    </xdr:to>
    <xdr:sp macro="" textlink="">
      <xdr:nvSpPr>
        <xdr:cNvPr id="14" name="Double Bracket 13"/>
        <xdr:cNvSpPr/>
      </xdr:nvSpPr>
      <xdr:spPr>
        <a:xfrm>
          <a:off x="533400" y="15725775"/>
          <a:ext cx="5143500" cy="7810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533400</xdr:colOff>
      <xdr:row>86</xdr:row>
      <xdr:rowOff>0</xdr:rowOff>
    </xdr:from>
    <xdr:to>
      <xdr:col>9</xdr:col>
      <xdr:colOff>533400</xdr:colOff>
      <xdr:row>90</xdr:row>
      <xdr:rowOff>19050</xdr:rowOff>
    </xdr:to>
    <xdr:sp macro="" textlink="">
      <xdr:nvSpPr>
        <xdr:cNvPr id="15" name="Double Bracket 14"/>
        <xdr:cNvSpPr/>
      </xdr:nvSpPr>
      <xdr:spPr>
        <a:xfrm>
          <a:off x="533400" y="17059275"/>
          <a:ext cx="5143500" cy="7810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542925</xdr:colOff>
      <xdr:row>93</xdr:row>
      <xdr:rowOff>0</xdr:rowOff>
    </xdr:from>
    <xdr:to>
      <xdr:col>9</xdr:col>
      <xdr:colOff>542925</xdr:colOff>
      <xdr:row>97</xdr:row>
      <xdr:rowOff>19050</xdr:rowOff>
    </xdr:to>
    <xdr:sp macro="" textlink="">
      <xdr:nvSpPr>
        <xdr:cNvPr id="16" name="Double Bracket 15"/>
        <xdr:cNvSpPr/>
      </xdr:nvSpPr>
      <xdr:spPr>
        <a:xfrm>
          <a:off x="542925" y="18392775"/>
          <a:ext cx="5143500" cy="7810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542925</xdr:colOff>
      <xdr:row>100</xdr:row>
      <xdr:rowOff>0</xdr:rowOff>
    </xdr:from>
    <xdr:to>
      <xdr:col>9</xdr:col>
      <xdr:colOff>542925</xdr:colOff>
      <xdr:row>104</xdr:row>
      <xdr:rowOff>19050</xdr:rowOff>
    </xdr:to>
    <xdr:sp macro="" textlink="">
      <xdr:nvSpPr>
        <xdr:cNvPr id="17" name="Double Bracket 16"/>
        <xdr:cNvSpPr/>
      </xdr:nvSpPr>
      <xdr:spPr>
        <a:xfrm>
          <a:off x="542925" y="19726275"/>
          <a:ext cx="5143500" cy="7810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542925</xdr:colOff>
      <xdr:row>107</xdr:row>
      <xdr:rowOff>0</xdr:rowOff>
    </xdr:from>
    <xdr:to>
      <xdr:col>9</xdr:col>
      <xdr:colOff>542925</xdr:colOff>
      <xdr:row>111</xdr:row>
      <xdr:rowOff>19050</xdr:rowOff>
    </xdr:to>
    <xdr:sp macro="" textlink="">
      <xdr:nvSpPr>
        <xdr:cNvPr id="18" name="Double Bracket 17"/>
        <xdr:cNvSpPr/>
      </xdr:nvSpPr>
      <xdr:spPr>
        <a:xfrm>
          <a:off x="542925" y="21059775"/>
          <a:ext cx="5143500" cy="7810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114</xdr:row>
      <xdr:rowOff>219074</xdr:rowOff>
    </xdr:from>
    <xdr:to>
      <xdr:col>3</xdr:col>
      <xdr:colOff>600075</xdr:colOff>
      <xdr:row>119</xdr:row>
      <xdr:rowOff>85724</xdr:rowOff>
    </xdr:to>
    <xdr:sp macro="" textlink="">
      <xdr:nvSpPr>
        <xdr:cNvPr id="19" name="Double Bracket 18"/>
        <xdr:cNvSpPr/>
      </xdr:nvSpPr>
      <xdr:spPr>
        <a:xfrm>
          <a:off x="1828800" y="22812374"/>
          <a:ext cx="600075" cy="8477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609599</xdr:colOff>
      <xdr:row>2</xdr:row>
      <xdr:rowOff>0</xdr:rowOff>
    </xdr:from>
    <xdr:to>
      <xdr:col>9</xdr:col>
      <xdr:colOff>28574</xdr:colOff>
      <xdr:row>6</xdr:row>
      <xdr:rowOff>19050</xdr:rowOff>
    </xdr:to>
    <xdr:sp macro="" textlink="">
      <xdr:nvSpPr>
        <xdr:cNvPr id="22" name="Double Bracket 21"/>
        <xdr:cNvSpPr/>
      </xdr:nvSpPr>
      <xdr:spPr>
        <a:xfrm>
          <a:off x="4876799" y="390525"/>
          <a:ext cx="638175" cy="9334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ference%20Practical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2">
          <cell r="D12">
            <v>1.1000000000000001</v>
          </cell>
          <cell r="E12">
            <v>6.8992908091557115E-2</v>
          </cell>
        </row>
        <row r="13">
          <cell r="D13">
            <v>1.25</v>
          </cell>
          <cell r="E13">
            <v>0.10389301002021623</v>
          </cell>
        </row>
        <row r="14">
          <cell r="D14">
            <v>1.4</v>
          </cell>
          <cell r="E14">
            <v>0.14587442414456553</v>
          </cell>
        </row>
        <row r="15">
          <cell r="D15">
            <v>1.6</v>
          </cell>
          <cell r="E15">
            <v>0.2109334883077203</v>
          </cell>
        </row>
        <row r="16">
          <cell r="D16">
            <v>1.8</v>
          </cell>
          <cell r="E16">
            <v>0.28331915812964859</v>
          </cell>
        </row>
        <row r="17">
          <cell r="D17">
            <v>2</v>
          </cell>
          <cell r="E17">
            <v>0.35950123590912852</v>
          </cell>
        </row>
        <row r="18">
          <cell r="D18">
            <v>2.2000000000000002</v>
          </cell>
          <cell r="E18">
            <v>0.43618892931247721</v>
          </cell>
        </row>
        <row r="19">
          <cell r="D19">
            <v>2.5</v>
          </cell>
          <cell r="E19">
            <v>0.54631603538963391</v>
          </cell>
        </row>
        <row r="20">
          <cell r="D20">
            <v>3</v>
          </cell>
          <cell r="E20">
            <v>0.70277796280968263</v>
          </cell>
        </row>
        <row r="21">
          <cell r="D21">
            <v>3.5</v>
          </cell>
          <cell r="E21">
            <v>0.81726227501186222</v>
          </cell>
        </row>
        <row r="22">
          <cell r="D22">
            <v>4</v>
          </cell>
          <cell r="E22">
            <v>0.89332446765230444</v>
          </cell>
        </row>
        <row r="23">
          <cell r="D23">
            <v>4.5</v>
          </cell>
          <cell r="E23">
            <v>0.94033188582381999</v>
          </cell>
        </row>
        <row r="24">
          <cell r="D24">
            <v>5</v>
          </cell>
          <cell r="E24">
            <v>0.96779413828659877</v>
          </cell>
        </row>
        <row r="25">
          <cell r="D25">
            <v>5.5</v>
          </cell>
          <cell r="E25">
            <v>0.9831324044877473</v>
          </cell>
        </row>
        <row r="52">
          <cell r="D52">
            <v>0</v>
          </cell>
          <cell r="E52">
            <v>1</v>
          </cell>
        </row>
        <row r="53">
          <cell r="D53">
            <v>0.1</v>
          </cell>
          <cell r="E53">
            <v>0.99748068942898616</v>
          </cell>
        </row>
        <row r="54">
          <cell r="D54">
            <v>0.2</v>
          </cell>
          <cell r="E54">
            <v>0.96133166128858738</v>
          </cell>
        </row>
        <row r="55">
          <cell r="D55">
            <v>0.3</v>
          </cell>
          <cell r="E55">
            <v>0.85597884067975016</v>
          </cell>
        </row>
        <row r="56">
          <cell r="D56">
            <v>0.4</v>
          </cell>
          <cell r="E56">
            <v>0.69465807432630355</v>
          </cell>
        </row>
        <row r="57">
          <cell r="D57">
            <v>0.5</v>
          </cell>
          <cell r="E57">
            <v>0.5175987928549326</v>
          </cell>
        </row>
        <row r="58">
          <cell r="D58">
            <v>0.6</v>
          </cell>
          <cell r="E58">
            <v>0.35874851370499233</v>
          </cell>
        </row>
        <row r="59">
          <cell r="D59">
            <v>0.7</v>
          </cell>
          <cell r="E59">
            <v>0.23420437249316967</v>
          </cell>
        </row>
        <row r="60">
          <cell r="D60">
            <v>0.8</v>
          </cell>
          <cell r="E60">
            <v>0.14552552775626901</v>
          </cell>
        </row>
        <row r="61">
          <cell r="D61">
            <v>0.9</v>
          </cell>
          <cell r="E61">
            <v>8.6784645346713304E-2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L15" sqref="A1:XFD1048576"/>
    </sheetView>
  </sheetViews>
  <sheetFormatPr defaultRowHeight="15" x14ac:dyDescent="0.25"/>
  <cols>
    <col min="1" max="16384" width="9.140625" style="1"/>
  </cols>
  <sheetData>
    <row r="1" spans="1:8" ht="15.75" thickBot="1" x14ac:dyDescent="0.3">
      <c r="A1" s="50" t="s">
        <v>294</v>
      </c>
      <c r="B1" s="51"/>
      <c r="C1" s="51"/>
      <c r="D1" s="51"/>
      <c r="E1" s="51"/>
      <c r="F1" s="52"/>
    </row>
    <row r="3" spans="1:8" ht="18" x14ac:dyDescent="0.25">
      <c r="A3" s="2" t="s">
        <v>0</v>
      </c>
      <c r="B3" s="1">
        <v>15</v>
      </c>
      <c r="D3" s="2" t="s">
        <v>7</v>
      </c>
      <c r="E3" s="1">
        <f>B4/B3</f>
        <v>0.57999999999999996</v>
      </c>
      <c r="G3" s="3" t="s">
        <v>9</v>
      </c>
      <c r="H3" s="1">
        <f>CHIINV(0.025,14)</f>
        <v>26.118948045037371</v>
      </c>
    </row>
    <row r="4" spans="1:8" ht="18" x14ac:dyDescent="0.25">
      <c r="A4" s="2" t="s">
        <v>5</v>
      </c>
      <c r="B4" s="1">
        <v>8.6999999999999993</v>
      </c>
      <c r="D4" s="2" t="s">
        <v>8</v>
      </c>
      <c r="E4" s="1">
        <f>(B5-B3*E3*E3)/14</f>
        <v>1.5895714285714286</v>
      </c>
      <c r="G4" s="3" t="s">
        <v>10</v>
      </c>
      <c r="H4" s="1">
        <f>CHIINV(0.975,14)</f>
        <v>5.6287261030397318</v>
      </c>
    </row>
    <row r="5" spans="1:8" ht="18" x14ac:dyDescent="0.25">
      <c r="A5" s="2" t="s">
        <v>6</v>
      </c>
      <c r="B5" s="1">
        <v>27.3</v>
      </c>
      <c r="D5" s="2" t="s">
        <v>11</v>
      </c>
      <c r="E5" s="1">
        <f>SQRT(E4)</f>
        <v>1.2607820702133372</v>
      </c>
      <c r="G5" s="2" t="s">
        <v>23</v>
      </c>
      <c r="H5" s="1">
        <f>TINV(0.05,14)</f>
        <v>2.1447866879178044</v>
      </c>
    </row>
    <row r="6" spans="1:8" ht="15.75" thickBot="1" x14ac:dyDescent="0.3"/>
    <row r="7" spans="1:8" ht="15.75" thickBot="1" x14ac:dyDescent="0.3">
      <c r="C7" s="10" t="s">
        <v>1</v>
      </c>
      <c r="D7" s="11">
        <f>E3-H5*SQRT(E4/B3)</f>
        <v>-0.11819783842008769</v>
      </c>
      <c r="E7" s="12" t="s">
        <v>3</v>
      </c>
      <c r="F7" s="13">
        <f>E3+H5*SQRT(E4/B3)</f>
        <v>1.2781978384200876</v>
      </c>
    </row>
    <row r="8" spans="1:8" ht="18" thickBot="1" x14ac:dyDescent="0.3">
      <c r="C8" s="4" t="s">
        <v>2</v>
      </c>
      <c r="D8" s="7">
        <f>14*E4/H3</f>
        <v>0.85202512603597313</v>
      </c>
      <c r="E8" s="8" t="s">
        <v>4</v>
      </c>
      <c r="F8" s="9">
        <f>14*E4/H4</f>
        <v>3.9536476980078978</v>
      </c>
    </row>
    <row r="9" spans="1:8" x14ac:dyDescent="0.25">
      <c r="C9" s="14"/>
      <c r="D9" s="15"/>
      <c r="E9" s="16"/>
      <c r="F9" s="15"/>
    </row>
    <row r="11" spans="1:8" ht="15.75" thickBot="1" x14ac:dyDescent="0.3"/>
    <row r="12" spans="1:8" ht="15.75" thickBot="1" x14ac:dyDescent="0.3">
      <c r="A12" s="50" t="s">
        <v>12</v>
      </c>
      <c r="B12" s="51"/>
      <c r="C12" s="51"/>
      <c r="D12" s="51"/>
      <c r="E12" s="51"/>
      <c r="F12" s="52"/>
    </row>
    <row r="14" spans="1:8" ht="18" x14ac:dyDescent="0.25">
      <c r="A14" s="2" t="s">
        <v>13</v>
      </c>
      <c r="B14" s="1">
        <v>15</v>
      </c>
      <c r="D14" s="2" t="s">
        <v>16</v>
      </c>
      <c r="E14" s="1">
        <v>20</v>
      </c>
    </row>
    <row r="15" spans="1:8" ht="18" x14ac:dyDescent="0.25">
      <c r="A15" s="2" t="s">
        <v>14</v>
      </c>
      <c r="B15" s="1">
        <v>6.42</v>
      </c>
      <c r="D15" s="2" t="s">
        <v>17</v>
      </c>
      <c r="E15" s="1">
        <v>5.68</v>
      </c>
    </row>
    <row r="16" spans="1:8" ht="18" x14ac:dyDescent="0.25">
      <c r="A16" s="2" t="s">
        <v>15</v>
      </c>
      <c r="B16" s="1">
        <v>3.51</v>
      </c>
      <c r="D16" s="2" t="s">
        <v>18</v>
      </c>
      <c r="E16" s="1">
        <v>2.97</v>
      </c>
    </row>
    <row r="17" spans="1:6" ht="18" x14ac:dyDescent="0.25">
      <c r="A17" s="2" t="s">
        <v>20</v>
      </c>
      <c r="B17" s="1">
        <f>B16*B16</f>
        <v>12.320099999999998</v>
      </c>
      <c r="D17" s="2" t="s">
        <v>21</v>
      </c>
      <c r="E17" s="1">
        <f>E16*E16</f>
        <v>8.8209000000000017</v>
      </c>
    </row>
    <row r="18" spans="1:6" ht="18" x14ac:dyDescent="0.25">
      <c r="A18" s="2" t="s">
        <v>22</v>
      </c>
      <c r="B18" s="1">
        <f>B14+E14-2</f>
        <v>33</v>
      </c>
      <c r="D18" s="2" t="s">
        <v>28</v>
      </c>
      <c r="E18" s="1">
        <f>FINV(0.025,14,19)</f>
        <v>2.6469279488440205</v>
      </c>
    </row>
    <row r="19" spans="1:6" ht="18" x14ac:dyDescent="0.25">
      <c r="A19" s="2" t="s">
        <v>19</v>
      </c>
      <c r="B19" s="1">
        <f>((B14)*B17+(E14)*E17)/33</f>
        <v>10.946045454545455</v>
      </c>
      <c r="D19" s="2" t="s">
        <v>29</v>
      </c>
      <c r="E19" s="1">
        <f>FINV(0.975,14,19)</f>
        <v>0.34956216025110742</v>
      </c>
    </row>
    <row r="20" spans="1:6" ht="18" x14ac:dyDescent="0.25">
      <c r="A20" s="2" t="s">
        <v>24</v>
      </c>
      <c r="B20" s="1">
        <f>TINV(0.05,B18)</f>
        <v>2.0345152974493397</v>
      </c>
      <c r="D20" s="2" t="s">
        <v>33</v>
      </c>
      <c r="E20" s="1">
        <f>FINV(0.05,14,19)</f>
        <v>2.2556139017639962</v>
      </c>
    </row>
    <row r="21" spans="1:6" ht="18" x14ac:dyDescent="0.25">
      <c r="A21" s="2" t="s">
        <v>25</v>
      </c>
      <c r="B21" s="1">
        <f>B15-E15</f>
        <v>0.74000000000000021</v>
      </c>
      <c r="D21" s="2" t="s">
        <v>34</v>
      </c>
      <c r="E21" s="1">
        <f>FINV(0.95,14,19)</f>
        <v>0.41665994112907379</v>
      </c>
    </row>
    <row r="22" spans="1:6" x14ac:dyDescent="0.25">
      <c r="A22" s="2"/>
      <c r="D22" s="2"/>
    </row>
    <row r="23" spans="1:6" ht="15.75" thickBot="1" x14ac:dyDescent="0.3"/>
    <row r="24" spans="1:6" ht="18" customHeight="1" thickBot="1" x14ac:dyDescent="0.3">
      <c r="B24" s="53" t="s">
        <v>26</v>
      </c>
      <c r="C24" s="54"/>
      <c r="D24" s="17">
        <f>B21-B20*SQRT(B19*(1/B14+1/E14))</f>
        <v>-1.5591270870677887</v>
      </c>
      <c r="E24" s="5" t="s">
        <v>27</v>
      </c>
      <c r="F24" s="6">
        <f>B21+B20*SQRT(B19*(1/B14+1/E14))</f>
        <v>3.0391270870677891</v>
      </c>
    </row>
    <row r="25" spans="1:6" ht="18" customHeight="1" thickBot="1" x14ac:dyDescent="0.3">
      <c r="B25" s="50" t="s">
        <v>31</v>
      </c>
      <c r="C25" s="55"/>
      <c r="D25" s="19">
        <f>SQRT((15*19*B17)/(20*14*E17*E18))</f>
        <v>0.73286338068043599</v>
      </c>
      <c r="E25" s="12" t="s">
        <v>30</v>
      </c>
      <c r="F25" s="13">
        <f>SQRT((15*19*B17)/(20*14*E17*E19))</f>
        <v>2.0166562385136069</v>
      </c>
    </row>
    <row r="26" spans="1:6" ht="18.75" thickBot="1" x14ac:dyDescent="0.3">
      <c r="B26" s="56" t="s">
        <v>32</v>
      </c>
      <c r="C26" s="57"/>
      <c r="D26" s="18">
        <f>SQRT((15*19*B17)/(20*14*E17*E20))</f>
        <v>0.79389250195705752</v>
      </c>
      <c r="E26" s="8" t="s">
        <v>30</v>
      </c>
      <c r="F26" s="9">
        <f>SQRT((15*19*B17)/(20*14*E17*E21))</f>
        <v>1.8471544366805714</v>
      </c>
    </row>
  </sheetData>
  <mergeCells count="5">
    <mergeCell ref="A1:F1"/>
    <mergeCell ref="A12:F12"/>
    <mergeCell ref="B24:C24"/>
    <mergeCell ref="B25:C25"/>
    <mergeCell ref="B26:C2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M16" sqref="M16"/>
    </sheetView>
  </sheetViews>
  <sheetFormatPr defaultRowHeight="15" x14ac:dyDescent="0.25"/>
  <cols>
    <col min="1" max="16384" width="9.140625" style="1"/>
  </cols>
  <sheetData>
    <row r="1" spans="1:8" ht="15.75" thickBot="1" x14ac:dyDescent="0.3">
      <c r="A1" s="50" t="s">
        <v>293</v>
      </c>
      <c r="B1" s="51"/>
      <c r="C1" s="51"/>
      <c r="D1" s="51"/>
      <c r="E1" s="51"/>
      <c r="F1" s="52"/>
    </row>
    <row r="2" spans="1:8" ht="15.75" thickBot="1" x14ac:dyDescent="0.3"/>
    <row r="3" spans="1:8" ht="18.75" thickBot="1" x14ac:dyDescent="0.3">
      <c r="B3" s="20" t="s">
        <v>35</v>
      </c>
      <c r="C3" s="21" t="s">
        <v>36</v>
      </c>
    </row>
    <row r="4" spans="1:8" x14ac:dyDescent="0.25">
      <c r="B4" s="22">
        <v>1</v>
      </c>
      <c r="C4" s="23">
        <v>3.5</v>
      </c>
    </row>
    <row r="5" spans="1:8" x14ac:dyDescent="0.25">
      <c r="B5" s="22">
        <v>2</v>
      </c>
      <c r="C5" s="23">
        <v>-1.7</v>
      </c>
      <c r="E5" s="2" t="s">
        <v>0</v>
      </c>
      <c r="F5" s="1">
        <v>10</v>
      </c>
    </row>
    <row r="6" spans="1:8" x14ac:dyDescent="0.25">
      <c r="B6" s="22">
        <v>3</v>
      </c>
      <c r="C6" s="23">
        <v>2.5</v>
      </c>
      <c r="E6" s="2" t="s">
        <v>7</v>
      </c>
      <c r="F6" s="1">
        <f>AVERAGE(C4:C13)</f>
        <v>0.62999999999999978</v>
      </c>
    </row>
    <row r="7" spans="1:8" ht="17.25" x14ac:dyDescent="0.25">
      <c r="B7" s="22">
        <v>4</v>
      </c>
      <c r="C7" s="23">
        <v>4.5</v>
      </c>
      <c r="E7" s="2" t="s">
        <v>19</v>
      </c>
      <c r="F7" s="1">
        <f>VAR(C4:C13)</f>
        <v>9.7378888888888895</v>
      </c>
    </row>
    <row r="8" spans="1:8" x14ac:dyDescent="0.25">
      <c r="B8" s="22">
        <v>5</v>
      </c>
      <c r="C8" s="23">
        <v>2.6</v>
      </c>
      <c r="E8" s="2" t="s">
        <v>37</v>
      </c>
      <c r="F8" s="1">
        <f>1.5</f>
        <v>1.5</v>
      </c>
    </row>
    <row r="9" spans="1:8" ht="18" x14ac:dyDescent="0.25">
      <c r="B9" s="22">
        <v>6</v>
      </c>
      <c r="C9" s="23">
        <v>-3.4</v>
      </c>
      <c r="E9" s="2" t="s">
        <v>38</v>
      </c>
      <c r="F9" s="1">
        <f>F8/SQRT(F7/F5)/2</f>
        <v>0.7600267113735848</v>
      </c>
    </row>
    <row r="10" spans="1:8" x14ac:dyDescent="0.25">
      <c r="B10" s="22">
        <v>7</v>
      </c>
      <c r="C10" s="23">
        <v>-1.9</v>
      </c>
      <c r="E10" s="3" t="s">
        <v>39</v>
      </c>
      <c r="F10" s="1">
        <f>TDIST(F9,9,2)</f>
        <v>0.46668041939558513</v>
      </c>
    </row>
    <row r="11" spans="1:8" x14ac:dyDescent="0.25">
      <c r="B11" s="22">
        <v>8</v>
      </c>
      <c r="C11" s="23">
        <v>2.8</v>
      </c>
      <c r="E11" s="3" t="s">
        <v>40</v>
      </c>
      <c r="F11" s="1">
        <f>1-F10</f>
        <v>0.53331958060441487</v>
      </c>
    </row>
    <row r="12" spans="1:8" x14ac:dyDescent="0.25">
      <c r="B12" s="22">
        <v>9</v>
      </c>
      <c r="C12" s="23">
        <v>1.6</v>
      </c>
    </row>
    <row r="13" spans="1:8" ht="15.75" thickBot="1" x14ac:dyDescent="0.3">
      <c r="B13" s="24">
        <v>10</v>
      </c>
      <c r="C13" s="9">
        <v>-4.2</v>
      </c>
    </row>
    <row r="14" spans="1:8" ht="15.75" thickBot="1" x14ac:dyDescent="0.3">
      <c r="E14" s="50" t="s">
        <v>41</v>
      </c>
      <c r="F14" s="51"/>
      <c r="G14" s="51"/>
      <c r="H14" s="55"/>
    </row>
    <row r="17" spans="1:7" ht="15.75" thickBot="1" x14ac:dyDescent="0.3"/>
    <row r="18" spans="1:7" ht="15.75" thickBot="1" x14ac:dyDescent="0.3">
      <c r="A18" s="50" t="s">
        <v>42</v>
      </c>
      <c r="B18" s="51"/>
      <c r="C18" s="51"/>
      <c r="D18" s="51"/>
      <c r="E18" s="51"/>
      <c r="F18" s="52"/>
    </row>
    <row r="20" spans="1:7" x14ac:dyDescent="0.25">
      <c r="B20" s="2" t="s">
        <v>0</v>
      </c>
      <c r="C20" s="1">
        <v>16</v>
      </c>
    </row>
    <row r="21" spans="1:7" x14ac:dyDescent="0.25">
      <c r="B21" s="3" t="s">
        <v>39</v>
      </c>
      <c r="C21" s="1">
        <v>0.05</v>
      </c>
    </row>
    <row r="22" spans="1:7" ht="17.25" x14ac:dyDescent="0.25">
      <c r="B22" s="3" t="s">
        <v>43</v>
      </c>
      <c r="C22" s="1">
        <v>25</v>
      </c>
    </row>
    <row r="23" spans="1:7" x14ac:dyDescent="0.25">
      <c r="B23" s="3" t="s">
        <v>44</v>
      </c>
      <c r="C23" s="1">
        <f>SQRT(C22)</f>
        <v>5</v>
      </c>
    </row>
    <row r="25" spans="1:7" ht="18" x14ac:dyDescent="0.25">
      <c r="A25" s="25" t="s">
        <v>45</v>
      </c>
      <c r="B25" s="26" t="s">
        <v>46</v>
      </c>
      <c r="C25" s="27">
        <v>2</v>
      </c>
      <c r="E25" s="2" t="s">
        <v>47</v>
      </c>
      <c r="F25" s="26" t="s">
        <v>46</v>
      </c>
      <c r="G25" s="27">
        <v>2.5</v>
      </c>
    </row>
    <row r="26" spans="1:7" ht="18" x14ac:dyDescent="0.25">
      <c r="B26" s="26" t="s">
        <v>48</v>
      </c>
      <c r="C26" s="27">
        <v>3</v>
      </c>
      <c r="F26" s="26" t="s">
        <v>48</v>
      </c>
      <c r="G26" s="27">
        <v>2</v>
      </c>
    </row>
    <row r="27" spans="1:7" ht="18" x14ac:dyDescent="0.25">
      <c r="B27" s="2" t="s">
        <v>49</v>
      </c>
      <c r="C27" s="1">
        <f>NORMINV(0.95,0,1)</f>
        <v>1.6448536269514715</v>
      </c>
      <c r="F27" s="2" t="s">
        <v>49</v>
      </c>
      <c r="G27" s="1">
        <f>NORMINV(0.05,0,1)</f>
        <v>-1.6448536269514726</v>
      </c>
    </row>
    <row r="28" spans="1:7" x14ac:dyDescent="0.25">
      <c r="A28" s="2" t="s">
        <v>50</v>
      </c>
      <c r="B28" s="2" t="s">
        <v>51</v>
      </c>
      <c r="C28" s="1">
        <f>C25+C27*C23/SQRT(C20)</f>
        <v>4.0560670336893399</v>
      </c>
      <c r="E28" s="2" t="s">
        <v>50</v>
      </c>
      <c r="F28" s="2" t="s">
        <v>52</v>
      </c>
      <c r="G28" s="1">
        <f>G25+G27*C23/SQRT(C20)</f>
        <v>0.44393296631065926</v>
      </c>
    </row>
    <row r="29" spans="1:7" x14ac:dyDescent="0.25">
      <c r="A29" s="2"/>
      <c r="B29" s="2"/>
      <c r="E29" s="2"/>
      <c r="F29" s="2"/>
    </row>
    <row r="30" spans="1:7" x14ac:dyDescent="0.25">
      <c r="A30" s="2"/>
      <c r="B30" s="3" t="s">
        <v>53</v>
      </c>
      <c r="C30" s="1">
        <f>C25+5/4*C27</f>
        <v>4.0560670336893399</v>
      </c>
      <c r="F30" s="3" t="s">
        <v>53</v>
      </c>
      <c r="G30" s="1">
        <f>G25+5/4*G27</f>
        <v>0.44393296631065926</v>
      </c>
    </row>
    <row r="31" spans="1:7" x14ac:dyDescent="0.25">
      <c r="A31" s="2" t="s">
        <v>54</v>
      </c>
      <c r="B31" s="2" t="s">
        <v>55</v>
      </c>
      <c r="C31" s="1">
        <f>1-NORMDIST((C30-C26)/(5/4),0,1,TRUE)</f>
        <v>0.19909628433142978</v>
      </c>
      <c r="E31" s="2" t="s">
        <v>54</v>
      </c>
      <c r="F31" s="2" t="s">
        <v>55</v>
      </c>
      <c r="G31" s="1">
        <f>NORMDIST((G30-G26)/(5/4),0,1,TRUE)</f>
        <v>0.10659277975247995</v>
      </c>
    </row>
  </sheetData>
  <mergeCells count="3">
    <mergeCell ref="A1:F1"/>
    <mergeCell ref="E14:H14"/>
    <mergeCell ref="A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N12" sqref="N12"/>
    </sheetView>
  </sheetViews>
  <sheetFormatPr defaultRowHeight="15" x14ac:dyDescent="0.25"/>
  <cols>
    <col min="1" max="16384" width="9.140625" style="1"/>
  </cols>
  <sheetData>
    <row r="1" spans="1:6" ht="15.75" thickBot="1" x14ac:dyDescent="0.3">
      <c r="A1" s="50" t="s">
        <v>292</v>
      </c>
      <c r="B1" s="51"/>
      <c r="C1" s="51"/>
      <c r="D1" s="51"/>
      <c r="E1" s="51"/>
      <c r="F1" s="52"/>
    </row>
    <row r="3" spans="1:6" x14ac:dyDescent="0.25">
      <c r="B3" s="2" t="s">
        <v>0</v>
      </c>
      <c r="C3" s="1">
        <v>5</v>
      </c>
    </row>
    <row r="4" spans="1:6" x14ac:dyDescent="0.25">
      <c r="B4" s="3" t="s">
        <v>39</v>
      </c>
      <c r="C4" s="1">
        <v>0.05</v>
      </c>
    </row>
    <row r="5" spans="1:6" x14ac:dyDescent="0.25">
      <c r="D5" s="2"/>
    </row>
    <row r="6" spans="1:6" ht="18" x14ac:dyDescent="0.25">
      <c r="B6" s="2" t="s">
        <v>45</v>
      </c>
      <c r="D6" s="26" t="s">
        <v>56</v>
      </c>
      <c r="E6" s="27">
        <v>1</v>
      </c>
    </row>
    <row r="7" spans="1:6" ht="18" x14ac:dyDescent="0.25">
      <c r="D7" s="26" t="s">
        <v>57</v>
      </c>
      <c r="E7" s="27">
        <v>1</v>
      </c>
    </row>
    <row r="8" spans="1:6" ht="18" x14ac:dyDescent="0.25">
      <c r="D8" s="3" t="s">
        <v>58</v>
      </c>
      <c r="E8" s="1">
        <f>CHIINV(0.95,10)</f>
        <v>3.9402991361190622</v>
      </c>
    </row>
    <row r="9" spans="1:6" ht="18" x14ac:dyDescent="0.25">
      <c r="C9" s="2" t="s">
        <v>59</v>
      </c>
      <c r="D9" s="3" t="s">
        <v>60</v>
      </c>
      <c r="E9" s="1">
        <f>E8/(E6*2)</f>
        <v>1.9701495680595311</v>
      </c>
    </row>
    <row r="10" spans="1:6" ht="15.75" thickBot="1" x14ac:dyDescent="0.3"/>
    <row r="11" spans="1:6" ht="18.75" thickBot="1" x14ac:dyDescent="0.3">
      <c r="C11" s="2"/>
      <c r="D11" s="20" t="s">
        <v>61</v>
      </c>
      <c r="E11" s="21" t="s">
        <v>62</v>
      </c>
    </row>
    <row r="12" spans="1:6" x14ac:dyDescent="0.25">
      <c r="D12" s="22">
        <v>1.1000000000000001</v>
      </c>
      <c r="E12" s="23">
        <f>1-CHIDIST(D12*2*$E$9,10)</f>
        <v>6.899290906110811E-2</v>
      </c>
    </row>
    <row r="13" spans="1:6" x14ac:dyDescent="0.25">
      <c r="D13" s="22">
        <v>1.25</v>
      </c>
      <c r="E13" s="23">
        <f t="shared" ref="E13:E25" si="0">1-CHIDIST(D13*2*$E$9,10)</f>
        <v>0.10389301054428124</v>
      </c>
    </row>
    <row r="14" spans="1:6" x14ac:dyDescent="0.25">
      <c r="D14" s="22">
        <v>1.4</v>
      </c>
      <c r="E14" s="23">
        <f t="shared" si="0"/>
        <v>0.14587442969658482</v>
      </c>
    </row>
    <row r="15" spans="1:6" x14ac:dyDescent="0.25">
      <c r="D15" s="22">
        <v>1.6</v>
      </c>
      <c r="E15" s="23">
        <f t="shared" si="0"/>
        <v>0.21093349459871558</v>
      </c>
    </row>
    <row r="16" spans="1:6" x14ac:dyDescent="0.25">
      <c r="D16" s="22">
        <v>1.8</v>
      </c>
      <c r="E16" s="23">
        <f t="shared" si="0"/>
        <v>0.28331916462121287</v>
      </c>
    </row>
    <row r="17" spans="4:5" x14ac:dyDescent="0.25">
      <c r="D17" s="22">
        <v>2</v>
      </c>
      <c r="E17" s="23">
        <f t="shared" si="0"/>
        <v>0.35950124214354573</v>
      </c>
    </row>
    <row r="18" spans="4:5" x14ac:dyDescent="0.25">
      <c r="D18" s="22">
        <v>2.2000000000000002</v>
      </c>
      <c r="E18" s="23">
        <f t="shared" si="0"/>
        <v>0.4361889349659176</v>
      </c>
    </row>
    <row r="19" spans="4:5" x14ac:dyDescent="0.25">
      <c r="D19" s="22">
        <v>2.5</v>
      </c>
      <c r="E19" s="23">
        <f t="shared" si="0"/>
        <v>0.54631604740348261</v>
      </c>
    </row>
    <row r="20" spans="4:5" x14ac:dyDescent="0.25">
      <c r="D20" s="22">
        <v>3</v>
      </c>
      <c r="E20" s="23">
        <f t="shared" si="0"/>
        <v>0.70277796106469859</v>
      </c>
    </row>
    <row r="21" spans="4:5" x14ac:dyDescent="0.25">
      <c r="D21" s="22">
        <v>3.5</v>
      </c>
      <c r="E21" s="23">
        <f t="shared" si="0"/>
        <v>0.81726227359406345</v>
      </c>
    </row>
    <row r="22" spans="4:5" x14ac:dyDescent="0.25">
      <c r="D22" s="22">
        <v>4</v>
      </c>
      <c r="E22" s="23">
        <f t="shared" si="0"/>
        <v>0.89332446661575404</v>
      </c>
    </row>
    <row r="23" spans="4:5" x14ac:dyDescent="0.25">
      <c r="D23" s="22">
        <v>4.5</v>
      </c>
      <c r="E23" s="23">
        <f t="shared" si="0"/>
        <v>0.94033188512432453</v>
      </c>
    </row>
    <row r="24" spans="4:5" x14ac:dyDescent="0.25">
      <c r="D24" s="22">
        <v>5</v>
      </c>
      <c r="E24" s="23">
        <f t="shared" si="0"/>
        <v>0.96779413784334201</v>
      </c>
    </row>
    <row r="25" spans="4:5" ht="15.75" thickBot="1" x14ac:dyDescent="0.3">
      <c r="D25" s="24">
        <v>5.5</v>
      </c>
      <c r="E25" s="9">
        <f t="shared" si="0"/>
        <v>0.9831324042207672</v>
      </c>
    </row>
    <row r="45" spans="2:5" x14ac:dyDescent="0.25">
      <c r="D45" s="2"/>
    </row>
    <row r="46" spans="2:5" ht="18" x14ac:dyDescent="0.25">
      <c r="B46" s="2" t="s">
        <v>47</v>
      </c>
      <c r="D46" s="26" t="s">
        <v>56</v>
      </c>
      <c r="E46" s="27">
        <v>1</v>
      </c>
    </row>
    <row r="47" spans="2:5" ht="18" x14ac:dyDescent="0.25">
      <c r="D47" s="26" t="s">
        <v>63</v>
      </c>
      <c r="E47" s="27">
        <v>1</v>
      </c>
    </row>
    <row r="48" spans="2:5" ht="18" x14ac:dyDescent="0.25">
      <c r="C48" s="2" t="s">
        <v>59</v>
      </c>
      <c r="D48" s="3" t="s">
        <v>64</v>
      </c>
      <c r="E48" s="1">
        <f>CHIINV(0.05,10)</f>
        <v>18.307038053275146</v>
      </c>
    </row>
    <row r="49" spans="4:5" ht="18" x14ac:dyDescent="0.25">
      <c r="D49" s="3" t="s">
        <v>65</v>
      </c>
      <c r="E49" s="1">
        <f>E48/(E6*2)</f>
        <v>9.1535190266375732</v>
      </c>
    </row>
    <row r="50" spans="4:5" ht="15.75" thickBot="1" x14ac:dyDescent="0.3"/>
    <row r="51" spans="4:5" ht="18.75" thickBot="1" x14ac:dyDescent="0.3">
      <c r="D51" s="20" t="s">
        <v>61</v>
      </c>
      <c r="E51" s="21" t="s">
        <v>62</v>
      </c>
    </row>
    <row r="52" spans="4:5" x14ac:dyDescent="0.25">
      <c r="D52" s="28">
        <v>0</v>
      </c>
      <c r="E52" s="23">
        <f t="shared" ref="E52:E61" si="1">CHIDIST(2*$E$49*D52,10)</f>
        <v>1</v>
      </c>
    </row>
    <row r="53" spans="4:5" x14ac:dyDescent="0.25">
      <c r="D53" s="22">
        <v>0.1</v>
      </c>
      <c r="E53" s="23">
        <f t="shared" si="1"/>
        <v>0.99748068940793477</v>
      </c>
    </row>
    <row r="54" spans="4:5" x14ac:dyDescent="0.25">
      <c r="D54" s="22">
        <v>0.2</v>
      </c>
      <c r="E54" s="23">
        <f t="shared" si="1"/>
        <v>0.96133166009653492</v>
      </c>
    </row>
    <row r="55" spans="4:5" x14ac:dyDescent="0.25">
      <c r="D55" s="22">
        <v>0.3</v>
      </c>
      <c r="E55" s="23">
        <f t="shared" si="1"/>
        <v>0.85597883461232849</v>
      </c>
    </row>
    <row r="56" spans="4:5" x14ac:dyDescent="0.25">
      <c r="D56" s="22">
        <v>0.4</v>
      </c>
      <c r="E56" s="23">
        <f t="shared" si="1"/>
        <v>0.69465806118702333</v>
      </c>
    </row>
    <row r="57" spans="4:5" x14ac:dyDescent="0.25">
      <c r="D57" s="22">
        <v>0.5</v>
      </c>
      <c r="E57" s="23">
        <f t="shared" si="1"/>
        <v>0.51759877408994415</v>
      </c>
    </row>
    <row r="58" spans="4:5" x14ac:dyDescent="0.25">
      <c r="D58" s="22">
        <v>0.6</v>
      </c>
      <c r="E58" s="23">
        <f t="shared" si="1"/>
        <v>0.35874851367071953</v>
      </c>
    </row>
    <row r="59" spans="4:5" x14ac:dyDescent="0.25">
      <c r="D59" s="22">
        <v>0.7</v>
      </c>
      <c r="E59" s="23">
        <f t="shared" si="1"/>
        <v>0.23420437247610801</v>
      </c>
    </row>
    <row r="60" spans="4:5" x14ac:dyDescent="0.25">
      <c r="D60" s="22">
        <v>0.8</v>
      </c>
      <c r="E60" s="23">
        <f t="shared" si="1"/>
        <v>0.14552552774911201</v>
      </c>
    </row>
    <row r="61" spans="4:5" ht="15.75" thickBot="1" x14ac:dyDescent="0.3">
      <c r="D61" s="24">
        <v>0.9</v>
      </c>
      <c r="E61" s="9">
        <f t="shared" si="1"/>
        <v>8.6784645344558028E-2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N12" sqref="N12"/>
    </sheetView>
  </sheetViews>
  <sheetFormatPr defaultRowHeight="15" x14ac:dyDescent="0.25"/>
  <cols>
    <col min="1" max="6" width="9.140625" style="1"/>
    <col min="7" max="7" width="12" style="1" bestFit="1" customWidth="1"/>
    <col min="8" max="16384" width="9.140625" style="1"/>
  </cols>
  <sheetData>
    <row r="1" spans="1:9" ht="15.75" thickBot="1" x14ac:dyDescent="0.3">
      <c r="A1" s="50" t="s">
        <v>291</v>
      </c>
      <c r="B1" s="51"/>
      <c r="C1" s="51"/>
      <c r="D1" s="51"/>
      <c r="E1" s="51"/>
      <c r="F1" s="55"/>
    </row>
    <row r="3" spans="1:9" ht="18" x14ac:dyDescent="0.25">
      <c r="B3" s="25" t="s">
        <v>67</v>
      </c>
      <c r="C3" s="27">
        <v>20</v>
      </c>
    </row>
    <row r="4" spans="1:9" ht="18.75" thickBot="1" x14ac:dyDescent="0.3">
      <c r="A4" s="25" t="s">
        <v>66</v>
      </c>
      <c r="B4" s="25" t="s">
        <v>68</v>
      </c>
      <c r="C4" s="27">
        <v>20</v>
      </c>
    </row>
    <row r="5" spans="1:9" ht="18.75" thickBot="1" x14ac:dyDescent="0.3">
      <c r="D5" s="30" t="s">
        <v>70</v>
      </c>
      <c r="E5" s="31" t="s">
        <v>71</v>
      </c>
      <c r="F5" s="31" t="s">
        <v>72</v>
      </c>
      <c r="G5" s="31" t="s">
        <v>73</v>
      </c>
      <c r="H5" s="31" t="s">
        <v>74</v>
      </c>
      <c r="I5" s="21" t="s">
        <v>55</v>
      </c>
    </row>
    <row r="6" spans="1:9" x14ac:dyDescent="0.25">
      <c r="A6" s="2" t="s">
        <v>0</v>
      </c>
      <c r="B6" s="1">
        <v>25</v>
      </c>
      <c r="D6" s="29">
        <v>17</v>
      </c>
      <c r="E6" s="15">
        <f>($B$11+20-D6)/(8/5)</f>
        <v>3.834963984540054</v>
      </c>
      <c r="F6" s="15">
        <f>(-$B$11+20-D6)/(8/5)</f>
        <v>-8.4963984540054049E-2</v>
      </c>
      <c r="G6" s="15">
        <f>1-NORMDIST(E6,0,1,TRUE)</f>
        <v>6.2791347392177066E-5</v>
      </c>
      <c r="H6" s="15">
        <f>NORMDIST(F6,0,1,TRUE)</f>
        <v>0.4661450116559176</v>
      </c>
      <c r="I6" s="23">
        <f>G6+H6</f>
        <v>0.46620780300330977</v>
      </c>
    </row>
    <row r="7" spans="1:9" ht="17.25" x14ac:dyDescent="0.25">
      <c r="A7" s="3" t="s">
        <v>43</v>
      </c>
      <c r="B7" s="1">
        <v>64</v>
      </c>
      <c r="D7" s="29">
        <v>18</v>
      </c>
      <c r="E7" s="15">
        <f t="shared" ref="E7:E11" si="0">($B$11+20-D7)/(8/5)</f>
        <v>3.209963984540054</v>
      </c>
      <c r="F7" s="15">
        <f t="shared" ref="F7:F11" si="1">(-$B$11+20-D7)/(8/5)</f>
        <v>-0.70996398454005405</v>
      </c>
      <c r="G7" s="15">
        <f>1-NORMDIST(E7,0,1,TRUE)</f>
        <v>6.6375802197027323E-4</v>
      </c>
      <c r="H7" s="15">
        <f t="shared" ref="H7:H11" si="2">NORMDIST(F7,0,1,TRUE)</f>
        <v>0.23886323519652986</v>
      </c>
      <c r="I7" s="23">
        <f t="shared" ref="I7:I11" si="3">G7+H7</f>
        <v>0.23952699321850013</v>
      </c>
    </row>
    <row r="8" spans="1:9" x14ac:dyDescent="0.25">
      <c r="A8" s="3" t="s">
        <v>44</v>
      </c>
      <c r="B8" s="1">
        <f>SQRT(B7)</f>
        <v>8</v>
      </c>
      <c r="D8" s="29">
        <v>19</v>
      </c>
      <c r="E8" s="15">
        <f t="shared" si="0"/>
        <v>2.584963984540054</v>
      </c>
      <c r="F8" s="15">
        <f t="shared" si="1"/>
        <v>-1.334963984540054</v>
      </c>
      <c r="G8" s="15">
        <f t="shared" ref="G8:G10" si="4">1-NORMDIST(E8,0,1,TRUE)</f>
        <v>4.8694584892752246E-3</v>
      </c>
      <c r="H8" s="15">
        <f t="shared" si="2"/>
        <v>9.0944067145166257E-2</v>
      </c>
      <c r="I8" s="23">
        <f t="shared" si="3"/>
        <v>9.5813525634441482E-2</v>
      </c>
    </row>
    <row r="9" spans="1:9" x14ac:dyDescent="0.25">
      <c r="A9" s="3" t="s">
        <v>39</v>
      </c>
      <c r="B9" s="1">
        <v>0.05</v>
      </c>
      <c r="D9" s="29">
        <v>21</v>
      </c>
      <c r="E9" s="15">
        <f t="shared" si="0"/>
        <v>1.334963984540054</v>
      </c>
      <c r="F9" s="15">
        <f t="shared" si="1"/>
        <v>-2.584963984540054</v>
      </c>
      <c r="G9" s="15">
        <f t="shared" si="4"/>
        <v>9.094406714516623E-2</v>
      </c>
      <c r="H9" s="15">
        <f t="shared" si="2"/>
        <v>4.8694584892751899E-3</v>
      </c>
      <c r="I9" s="23">
        <f t="shared" si="3"/>
        <v>9.5813525634441427E-2</v>
      </c>
    </row>
    <row r="10" spans="1:9" ht="18" x14ac:dyDescent="0.25">
      <c r="A10" s="2" t="s">
        <v>69</v>
      </c>
      <c r="B10" s="1">
        <f>NORMINV(0.975,0,1)</f>
        <v>1.9599639845400536</v>
      </c>
      <c r="D10" s="29">
        <v>22</v>
      </c>
      <c r="E10" s="15">
        <f t="shared" si="0"/>
        <v>0.70996398454005405</v>
      </c>
      <c r="F10" s="15">
        <f t="shared" si="1"/>
        <v>-3.209963984540054</v>
      </c>
      <c r="G10" s="15">
        <f t="shared" si="4"/>
        <v>0.23886323519652986</v>
      </c>
      <c r="H10" s="15">
        <f t="shared" si="2"/>
        <v>6.6375802197029393E-4</v>
      </c>
      <c r="I10" s="23">
        <f t="shared" si="3"/>
        <v>0.23952699321850016</v>
      </c>
    </row>
    <row r="11" spans="1:9" ht="15.75" thickBot="1" x14ac:dyDescent="0.3">
      <c r="A11" s="2" t="s">
        <v>53</v>
      </c>
      <c r="B11" s="1">
        <f>B10*B8/SQRT(B6)</f>
        <v>3.1359423752640856</v>
      </c>
      <c r="D11" s="7">
        <v>23</v>
      </c>
      <c r="E11" s="18">
        <f t="shared" si="0"/>
        <v>8.4963984540054049E-2</v>
      </c>
      <c r="F11" s="18">
        <f t="shared" si="1"/>
        <v>-3.834963984540054</v>
      </c>
      <c r="G11" s="18">
        <f>1-NORMDIST(E11,0,1,TRUE)</f>
        <v>0.4661450116559176</v>
      </c>
      <c r="H11" s="18">
        <f t="shared" si="2"/>
        <v>6.2791347392184791E-5</v>
      </c>
      <c r="I11" s="9">
        <f t="shared" si="3"/>
        <v>0.46620780300330977</v>
      </c>
    </row>
  </sheetData>
  <mergeCells count="1">
    <mergeCell ref="A1:F1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2" sqref="A2"/>
    </sheetView>
  </sheetViews>
  <sheetFormatPr defaultRowHeight="15" x14ac:dyDescent="0.25"/>
  <cols>
    <col min="1" max="1" width="7.7109375" style="1" bestFit="1" customWidth="1"/>
    <col min="2" max="2" width="9.7109375" style="1" customWidth="1"/>
    <col min="3" max="3" width="10.140625" style="1" customWidth="1"/>
    <col min="4" max="4" width="7.85546875" style="1" customWidth="1"/>
    <col min="5" max="16384" width="9.140625" style="1"/>
  </cols>
  <sheetData>
    <row r="1" spans="1:6" ht="15.75" thickBot="1" x14ac:dyDescent="0.3">
      <c r="A1" s="50" t="s">
        <v>290</v>
      </c>
      <c r="B1" s="51"/>
      <c r="C1" s="51"/>
      <c r="D1" s="51"/>
      <c r="E1" s="51"/>
      <c r="F1" s="55"/>
    </row>
    <row r="3" spans="1:6" ht="18" x14ac:dyDescent="0.25">
      <c r="A3" s="25" t="s">
        <v>67</v>
      </c>
      <c r="B3" s="32">
        <v>1</v>
      </c>
      <c r="C3" s="2" t="s">
        <v>75</v>
      </c>
      <c r="D3" s="25" t="s">
        <v>76</v>
      </c>
      <c r="E3" s="32">
        <v>1</v>
      </c>
    </row>
    <row r="5" spans="1:6" x14ac:dyDescent="0.25">
      <c r="A5" s="34" t="s">
        <v>77</v>
      </c>
      <c r="B5" s="27">
        <v>0.05</v>
      </c>
    </row>
    <row r="6" spans="1:6" x14ac:dyDescent="0.25">
      <c r="A6" s="35" t="s">
        <v>78</v>
      </c>
      <c r="B6" s="27">
        <v>20</v>
      </c>
    </row>
    <row r="7" spans="1:6" x14ac:dyDescent="0.25">
      <c r="A7" s="35" t="s">
        <v>79</v>
      </c>
      <c r="B7" s="1">
        <f>POWER(1-B5,1/B6)</f>
        <v>0.99743862122346971</v>
      </c>
    </row>
    <row r="8" spans="1:6" ht="15.75" thickBot="1" x14ac:dyDescent="0.3"/>
    <row r="9" spans="1:6" ht="15.75" thickBot="1" x14ac:dyDescent="0.3">
      <c r="A9" s="30" t="s">
        <v>70</v>
      </c>
      <c r="B9" s="21" t="s">
        <v>55</v>
      </c>
    </row>
    <row r="10" spans="1:6" x14ac:dyDescent="0.25">
      <c r="A10" s="29">
        <v>1.01</v>
      </c>
      <c r="B10" s="23">
        <f>1-POWER(B$7/A10,B$6)</f>
        <v>0.22143275317956967</v>
      </c>
    </row>
    <row r="11" spans="1:6" x14ac:dyDescent="0.25">
      <c r="A11" s="29">
        <v>1.04</v>
      </c>
      <c r="B11" s="23">
        <f t="shared" ref="B11:B19" si="0">1-POWER(B$7/A11,B$6)</f>
        <v>0.56643240110877291</v>
      </c>
    </row>
    <row r="12" spans="1:6" x14ac:dyDescent="0.25">
      <c r="A12" s="29">
        <v>1.08</v>
      </c>
      <c r="B12" s="23">
        <f t="shared" si="0"/>
        <v>0.79617920296614642</v>
      </c>
    </row>
    <row r="13" spans="1:6" x14ac:dyDescent="0.25">
      <c r="A13" s="29">
        <v>1.1200000000000001</v>
      </c>
      <c r="B13" s="23">
        <f t="shared" si="0"/>
        <v>0.90151657317334621</v>
      </c>
    </row>
    <row r="14" spans="1:6" x14ac:dyDescent="0.25">
      <c r="A14" s="29">
        <v>1.1599999999999999</v>
      </c>
      <c r="B14" s="23">
        <f t="shared" si="0"/>
        <v>0.95118381673195329</v>
      </c>
    </row>
    <row r="15" spans="1:6" x14ac:dyDescent="0.25">
      <c r="A15" s="29">
        <v>1.2</v>
      </c>
      <c r="B15" s="23">
        <f t="shared" si="0"/>
        <v>0.97522014936064061</v>
      </c>
    </row>
    <row r="16" spans="1:6" x14ac:dyDescent="0.25">
      <c r="A16" s="29">
        <v>1.24</v>
      </c>
      <c r="B16" s="23">
        <f t="shared" si="0"/>
        <v>0.98713855093784797</v>
      </c>
    </row>
    <row r="17" spans="1:6" x14ac:dyDescent="0.25">
      <c r="A17" s="29">
        <v>1.28</v>
      </c>
      <c r="B17" s="23">
        <f t="shared" si="0"/>
        <v>0.99318408426952409</v>
      </c>
    </row>
    <row r="18" spans="1:6" x14ac:dyDescent="0.25">
      <c r="A18" s="29">
        <v>1.32</v>
      </c>
      <c r="B18" s="23">
        <f t="shared" si="0"/>
        <v>0.99631663309906926</v>
      </c>
    </row>
    <row r="19" spans="1:6" ht="15.75" thickBot="1" x14ac:dyDescent="0.3">
      <c r="A19" s="7">
        <v>1.36</v>
      </c>
      <c r="B19" s="9">
        <f t="shared" si="0"/>
        <v>0.99797257201019307</v>
      </c>
    </row>
    <row r="22" spans="1:6" ht="15.75" thickBot="1" x14ac:dyDescent="0.3"/>
    <row r="23" spans="1:6" ht="15.75" thickBot="1" x14ac:dyDescent="0.3">
      <c r="A23" s="50" t="s">
        <v>80</v>
      </c>
      <c r="B23" s="51"/>
      <c r="C23" s="51"/>
      <c r="D23" s="51"/>
      <c r="E23" s="51"/>
      <c r="F23" s="55"/>
    </row>
    <row r="25" spans="1:6" ht="18" x14ac:dyDescent="0.25">
      <c r="A25" s="25" t="s">
        <v>81</v>
      </c>
      <c r="B25" s="32">
        <v>1</v>
      </c>
      <c r="C25" s="2" t="s">
        <v>75</v>
      </c>
      <c r="D25" s="25" t="s">
        <v>82</v>
      </c>
      <c r="E25" s="32">
        <v>1</v>
      </c>
    </row>
    <row r="26" spans="1:6" ht="18" x14ac:dyDescent="0.25">
      <c r="A26" s="35" t="s">
        <v>78</v>
      </c>
      <c r="B26" s="27">
        <v>16</v>
      </c>
      <c r="C26" s="33" t="s">
        <v>83</v>
      </c>
      <c r="D26" s="1">
        <f>CHIINV(0.025,16)</f>
        <v>28.84535072340476</v>
      </c>
    </row>
    <row r="27" spans="1:6" ht="18" x14ac:dyDescent="0.25">
      <c r="A27" s="34" t="s">
        <v>77</v>
      </c>
      <c r="B27" s="27">
        <v>0.05</v>
      </c>
      <c r="C27" s="33" t="s">
        <v>84</v>
      </c>
      <c r="D27" s="1">
        <f>CHIINV(0.975,16)</f>
        <v>6.9076643534970019</v>
      </c>
    </row>
    <row r="28" spans="1:6" ht="18" x14ac:dyDescent="0.25">
      <c r="A28" s="34" t="s">
        <v>88</v>
      </c>
      <c r="B28" s="27">
        <f>1*D26</f>
        <v>28.84535072340476</v>
      </c>
      <c r="C28" s="33" t="s">
        <v>89</v>
      </c>
      <c r="D28" s="1">
        <f>1*D27</f>
        <v>6.9076643534970019</v>
      </c>
    </row>
    <row r="29" spans="1:6" ht="15.75" thickBot="1" x14ac:dyDescent="0.3"/>
    <row r="30" spans="1:6" ht="18.75" thickBot="1" x14ac:dyDescent="0.3">
      <c r="A30" s="30" t="s">
        <v>85</v>
      </c>
      <c r="B30" s="31" t="s">
        <v>86</v>
      </c>
      <c r="C30" s="31" t="s">
        <v>87</v>
      </c>
      <c r="D30" s="21" t="s">
        <v>55</v>
      </c>
    </row>
    <row r="31" spans="1:6" x14ac:dyDescent="0.25">
      <c r="A31" s="29">
        <v>0.1</v>
      </c>
      <c r="B31" s="15">
        <f>CHIDIST($D$26/A31,16)</f>
        <v>6.2438874808078507E-52</v>
      </c>
      <c r="C31" s="15">
        <f>1-CHIDIST($D$27/A31,16)</f>
        <v>0.9999999855268038</v>
      </c>
      <c r="D31" s="23">
        <f>C31+B31</f>
        <v>0.9999999855268038</v>
      </c>
    </row>
    <row r="32" spans="1:6" x14ac:dyDescent="0.25">
      <c r="A32" s="29">
        <v>0.25</v>
      </c>
      <c r="B32" s="15">
        <f t="shared" ref="B32:B42" si="1">CHIDIST($D$26/A32,16)</f>
        <v>4.2228182829415358E-17</v>
      </c>
      <c r="C32" s="15">
        <f t="shared" ref="C32:C42" si="2">1-CHIDIST($D$27/A32,16)</f>
        <v>0.96501634224300803</v>
      </c>
      <c r="D32" s="23">
        <f t="shared" ref="D32:D42" si="3">C32+B32</f>
        <v>0.96501634224300803</v>
      </c>
    </row>
    <row r="33" spans="1:4" x14ac:dyDescent="0.25">
      <c r="A33" s="29">
        <v>0.4</v>
      </c>
      <c r="B33" s="15">
        <f t="shared" si="1"/>
        <v>4.242985310465206E-9</v>
      </c>
      <c r="C33" s="15">
        <f t="shared" si="2"/>
        <v>0.63161003487965139</v>
      </c>
      <c r="D33" s="23">
        <f t="shared" si="3"/>
        <v>0.63161003912263669</v>
      </c>
    </row>
    <row r="34" spans="1:4" x14ac:dyDescent="0.25">
      <c r="A34" s="29">
        <v>0.55000000000000004</v>
      </c>
      <c r="B34" s="15">
        <f t="shared" si="1"/>
        <v>9.2783276334414968E-6</v>
      </c>
      <c r="C34" s="15">
        <f t="shared" si="2"/>
        <v>0.29534083949265844</v>
      </c>
      <c r="D34" s="23">
        <f t="shared" si="3"/>
        <v>0.29535011782029186</v>
      </c>
    </row>
    <row r="35" spans="1:4" x14ac:dyDescent="0.25">
      <c r="A35" s="29">
        <v>0.7</v>
      </c>
      <c r="B35" s="15">
        <f t="shared" si="1"/>
        <v>5.1740716181021443E-4</v>
      </c>
      <c r="C35" s="15">
        <f t="shared" si="2"/>
        <v>0.12657456578019877</v>
      </c>
      <c r="D35" s="23">
        <f t="shared" si="3"/>
        <v>0.12709197294200897</v>
      </c>
    </row>
    <row r="36" spans="1:4" x14ac:dyDescent="0.25">
      <c r="A36" s="29">
        <v>0.85</v>
      </c>
      <c r="B36" s="15">
        <f t="shared" si="1"/>
        <v>5.542402737632731E-3</v>
      </c>
      <c r="C36" s="15">
        <f t="shared" si="2"/>
        <v>5.4994280518034677E-2</v>
      </c>
      <c r="D36" s="23">
        <f t="shared" si="3"/>
        <v>6.0536683255667412E-2</v>
      </c>
    </row>
    <row r="37" spans="1:4" x14ac:dyDescent="0.25">
      <c r="A37" s="29">
        <v>1.1499999999999999</v>
      </c>
      <c r="B37" s="15">
        <f t="shared" si="1"/>
        <v>6.8377044278019494E-2</v>
      </c>
      <c r="C37" s="15">
        <f t="shared" si="2"/>
        <v>1.1976655633319733E-2</v>
      </c>
      <c r="D37" s="23">
        <f t="shared" si="3"/>
        <v>8.0353699911339227E-2</v>
      </c>
    </row>
    <row r="38" spans="1:4" x14ac:dyDescent="0.25">
      <c r="A38" s="29">
        <v>1.3</v>
      </c>
      <c r="B38" s="15">
        <f t="shared" si="1"/>
        <v>0.13720154475668472</v>
      </c>
      <c r="C38" s="15">
        <f t="shared" si="2"/>
        <v>6.0389617504675863E-3</v>
      </c>
      <c r="D38" s="23">
        <f t="shared" si="3"/>
        <v>0.14324050650715231</v>
      </c>
    </row>
    <row r="39" spans="1:4" x14ac:dyDescent="0.25">
      <c r="A39" s="29">
        <v>1.45</v>
      </c>
      <c r="B39" s="15">
        <f t="shared" si="1"/>
        <v>0.22506280097367565</v>
      </c>
      <c r="C39" s="15">
        <f t="shared" si="2"/>
        <v>3.1921893002446744E-3</v>
      </c>
      <c r="D39" s="23">
        <f t="shared" si="3"/>
        <v>0.22825499027392032</v>
      </c>
    </row>
    <row r="40" spans="1:4" x14ac:dyDescent="0.25">
      <c r="A40" s="29">
        <v>1.6</v>
      </c>
      <c r="B40" s="15">
        <f t="shared" si="1"/>
        <v>0.32223979842710693</v>
      </c>
      <c r="C40" s="15">
        <f t="shared" si="2"/>
        <v>1.7607982300549274E-3</v>
      </c>
      <c r="D40" s="23">
        <f t="shared" si="3"/>
        <v>0.32400059665716185</v>
      </c>
    </row>
    <row r="41" spans="1:4" x14ac:dyDescent="0.25">
      <c r="A41" s="29">
        <v>1.75</v>
      </c>
      <c r="B41" s="15">
        <f t="shared" si="1"/>
        <v>0.41978499439105627</v>
      </c>
      <c r="C41" s="15">
        <f t="shared" si="2"/>
        <v>1.0089862633506641E-3</v>
      </c>
      <c r="D41" s="23">
        <f t="shared" si="3"/>
        <v>0.42079398065440693</v>
      </c>
    </row>
    <row r="42" spans="1:4" ht="15.75" thickBot="1" x14ac:dyDescent="0.3">
      <c r="A42" s="7">
        <v>1.9</v>
      </c>
      <c r="B42" s="18">
        <f t="shared" si="1"/>
        <v>0.51136832097896123</v>
      </c>
      <c r="C42" s="18">
        <f t="shared" si="2"/>
        <v>5.9821243506408273E-4</v>
      </c>
      <c r="D42" s="9">
        <f t="shared" si="3"/>
        <v>0.51196653341402532</v>
      </c>
    </row>
  </sheetData>
  <mergeCells count="2">
    <mergeCell ref="A1:F1"/>
    <mergeCell ref="A23:F23"/>
  </mergeCell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O25" sqref="O25"/>
    </sheetView>
  </sheetViews>
  <sheetFormatPr defaultRowHeight="15" x14ac:dyDescent="0.25"/>
  <cols>
    <col min="1" max="16384" width="9.140625" style="1"/>
  </cols>
  <sheetData>
    <row r="1" spans="1:7" ht="15.75" thickBot="1" x14ac:dyDescent="0.3">
      <c r="A1" s="50" t="s">
        <v>289</v>
      </c>
      <c r="B1" s="51"/>
      <c r="C1" s="51"/>
      <c r="D1" s="51"/>
      <c r="E1" s="51"/>
      <c r="F1" s="55"/>
    </row>
    <row r="3" spans="1:7" x14ac:dyDescent="0.25">
      <c r="B3" s="1">
        <v>24.5229</v>
      </c>
      <c r="C3" s="1">
        <v>1.1309</v>
      </c>
      <c r="D3" s="1">
        <v>2.8645999999999998</v>
      </c>
      <c r="E3" s="1">
        <v>5.4532999999999996</v>
      </c>
    </row>
    <row r="4" spans="1:7" x14ac:dyDescent="0.25">
      <c r="A4" s="1" t="s">
        <v>90</v>
      </c>
      <c r="B4" s="1">
        <v>1.1309</v>
      </c>
      <c r="C4" s="1">
        <v>23.0822</v>
      </c>
      <c r="D4" s="1">
        <v>3.1452</v>
      </c>
      <c r="E4" s="1">
        <v>5.7253999999999996</v>
      </c>
    </row>
    <row r="5" spans="1:7" x14ac:dyDescent="0.25">
      <c r="B5" s="1">
        <v>2.8645999999999998</v>
      </c>
      <c r="C5" s="1">
        <v>3.1452</v>
      </c>
      <c r="D5" s="1">
        <v>9.9457000000000004</v>
      </c>
      <c r="E5" s="1">
        <v>3.226</v>
      </c>
    </row>
    <row r="6" spans="1:7" x14ac:dyDescent="0.25">
      <c r="B6" s="1">
        <v>5.4532999999999996</v>
      </c>
      <c r="C6" s="1">
        <v>5.7253999999999996</v>
      </c>
      <c r="D6" s="1">
        <v>3.226</v>
      </c>
      <c r="E6" s="1">
        <v>22.186</v>
      </c>
    </row>
    <row r="8" spans="1:7" ht="18" x14ac:dyDescent="0.25">
      <c r="A8" s="1" t="s">
        <v>100</v>
      </c>
      <c r="B8" s="1">
        <v>24.5229</v>
      </c>
      <c r="C8" s="1">
        <v>1.1309</v>
      </c>
      <c r="E8" s="1" t="s">
        <v>99</v>
      </c>
      <c r="F8" s="1">
        <v>2.8645999999999998</v>
      </c>
      <c r="G8" s="1">
        <v>5.4532999999999996</v>
      </c>
    </row>
    <row r="9" spans="1:7" x14ac:dyDescent="0.25">
      <c r="B9" s="1">
        <v>1.1309</v>
      </c>
      <c r="C9" s="1">
        <v>23.0822</v>
      </c>
      <c r="F9" s="1">
        <v>3.1452</v>
      </c>
      <c r="G9" s="1">
        <v>5.7253999999999996</v>
      </c>
    </row>
    <row r="11" spans="1:7" ht="18" x14ac:dyDescent="0.25">
      <c r="A11" s="1" t="s">
        <v>97</v>
      </c>
      <c r="B11" s="1">
        <v>2.8645999999999998</v>
      </c>
      <c r="C11" s="1">
        <v>3.1452</v>
      </c>
      <c r="E11" s="1" t="s">
        <v>98</v>
      </c>
      <c r="F11" s="1">
        <v>9.9457000000000004</v>
      </c>
      <c r="G11" s="1">
        <v>3.226</v>
      </c>
    </row>
    <row r="12" spans="1:7" x14ac:dyDescent="0.25">
      <c r="B12" s="1">
        <v>5.4532999999999996</v>
      </c>
      <c r="C12" s="1">
        <v>5.7253999999999996</v>
      </c>
      <c r="F12" s="1">
        <v>3.226</v>
      </c>
      <c r="G12" s="1">
        <v>22.186</v>
      </c>
    </row>
    <row r="14" spans="1:7" ht="18" x14ac:dyDescent="0.25">
      <c r="A14" s="1" t="s">
        <v>96</v>
      </c>
      <c r="B14" s="1">
        <f t="array" ref="B14">MDETERM(F11:G12)</f>
        <v>210.24822420000001</v>
      </c>
      <c r="E14" s="1" t="s">
        <v>95</v>
      </c>
      <c r="F14" s="1">
        <f t="array" ref="F14:G15">MINVERSE(F11:G12)</f>
        <v>0.10552288888250214</v>
      </c>
      <c r="G14" s="1">
        <v>-1.5343768121110246E-2</v>
      </c>
    </row>
    <row r="15" spans="1:7" x14ac:dyDescent="0.25">
      <c r="F15" s="1">
        <v>-1.5343768121110246E-2</v>
      </c>
      <c r="G15" s="1">
        <v>4.7304561252983934E-2</v>
      </c>
    </row>
    <row r="17" spans="1:7" x14ac:dyDescent="0.25">
      <c r="A17" s="1" t="s">
        <v>91</v>
      </c>
      <c r="B17" s="1">
        <f t="array" ref="B17:C18">MINVERSE((B8:C9)-(MMULT(F8:G9,MMULT(MINVERSE(F11:G12),B11:C12))))</f>
        <v>4.4051806772158933E-2</v>
      </c>
      <c r="C17" s="1">
        <v>1.6371955411540297E-3</v>
      </c>
      <c r="E17" s="1" t="s">
        <v>92</v>
      </c>
      <c r="F17" s="1">
        <f t="array" ref="F17:G18">-MMULT(B17:C18,MMULT(F8:G9,F14:G15))</f>
        <v>-1.0029563425821383E-2</v>
      </c>
      <c r="G17" s="1">
        <v>-9.7920285590118884E-3</v>
      </c>
    </row>
    <row r="18" spans="1:7" x14ac:dyDescent="0.25">
      <c r="B18" s="1">
        <v>1.6371955411540297E-3</v>
      </c>
      <c r="C18" s="1">
        <v>4.7588706141497551E-2</v>
      </c>
      <c r="F18" s="1">
        <v>-1.1971515433810025E-2</v>
      </c>
      <c r="G18" s="1">
        <v>-1.0942593878916171E-2</v>
      </c>
    </row>
    <row r="20" spans="1:7" x14ac:dyDescent="0.25">
      <c r="A20" s="1" t="s">
        <v>93</v>
      </c>
      <c r="B20" s="1">
        <f t="array" ref="B20:C21">-MMULT(F14:G15,MMULT(B11:C12,B17:C18))</f>
        <v>-1.0029563425821389E-2</v>
      </c>
      <c r="C20" s="1">
        <v>-1.1971515433810021E-2</v>
      </c>
      <c r="E20" s="1" t="s">
        <v>94</v>
      </c>
      <c r="F20" s="1">
        <f t="array" ref="F20:G21">F14:G15-MMULT(F14:G15,MMULT(B11:C12,F17:G18))</f>
        <v>0.11063696376185342</v>
      </c>
      <c r="G20" s="1">
        <v>-1.0532719390650477E-2</v>
      </c>
    </row>
    <row r="21" spans="1:7" x14ac:dyDescent="0.25">
      <c r="B21" s="1">
        <v>-9.7920285590118884E-3</v>
      </c>
      <c r="C21" s="1">
        <v>-1.0942593878916169E-2</v>
      </c>
      <c r="F21" s="1">
        <v>-1.0532719390650477E-2</v>
      </c>
      <c r="G21" s="1">
        <v>5.1835758996188794E-2</v>
      </c>
    </row>
    <row r="23" spans="1:7" ht="17.25" x14ac:dyDescent="0.25">
      <c r="A23" s="1" t="s">
        <v>101</v>
      </c>
      <c r="B23" s="1">
        <v>4.4051806772158933E-2</v>
      </c>
      <c r="C23" s="1">
        <v>1.6371955411540297E-3</v>
      </c>
      <c r="D23" s="1">
        <v>-1.0029563425821383E-2</v>
      </c>
      <c r="E23" s="1">
        <v>-9.7920285590118884E-3</v>
      </c>
    </row>
    <row r="24" spans="1:7" x14ac:dyDescent="0.25">
      <c r="B24" s="1">
        <v>1.6371955411540297E-3</v>
      </c>
      <c r="C24" s="1">
        <v>4.7588706141497551E-2</v>
      </c>
      <c r="D24" s="1">
        <v>-1.1971515433810025E-2</v>
      </c>
      <c r="E24" s="1">
        <v>-1.0942593878916171E-2</v>
      </c>
    </row>
    <row r="25" spans="1:7" x14ac:dyDescent="0.25">
      <c r="B25" s="1">
        <v>-1.0029563425821389E-2</v>
      </c>
      <c r="C25" s="1">
        <v>-1.1971515433810021E-2</v>
      </c>
      <c r="D25" s="1">
        <v>0.11063696376185342</v>
      </c>
      <c r="E25" s="1">
        <v>-1.0532719390650477E-2</v>
      </c>
    </row>
    <row r="26" spans="1:7" x14ac:dyDescent="0.25">
      <c r="B26" s="1">
        <v>-9.7920285590118884E-3</v>
      </c>
      <c r="C26" s="1">
        <v>-1.0942593878916169E-2</v>
      </c>
      <c r="D26" s="1">
        <v>-1.0532719390650477E-2</v>
      </c>
      <c r="E26" s="1">
        <v>5.1835758996188794E-2</v>
      </c>
    </row>
    <row r="28" spans="1:7" x14ac:dyDescent="0.25">
      <c r="A28" s="58" t="s">
        <v>103</v>
      </c>
      <c r="B28" s="58"/>
      <c r="C28" s="58"/>
      <c r="D28" s="58"/>
      <c r="E28" s="58"/>
    </row>
    <row r="30" spans="1:7" ht="17.25" x14ac:dyDescent="0.25">
      <c r="A30" s="1" t="s">
        <v>102</v>
      </c>
      <c r="B30" s="1">
        <f t="array" ref="B30:E33">MMULT(B3:E6,MMULT(B23:E26,B3:E6))</f>
        <v>24.522899999999993</v>
      </c>
      <c r="C30" s="1">
        <v>1.1309000000000011</v>
      </c>
      <c r="D30" s="1">
        <v>2.8646000000000011</v>
      </c>
      <c r="E30" s="1">
        <v>5.4533000000000005</v>
      </c>
    </row>
    <row r="31" spans="1:7" x14ac:dyDescent="0.25">
      <c r="B31" s="1">
        <v>1.1308999999999998</v>
      </c>
      <c r="C31" s="1">
        <v>23.082200000000004</v>
      </c>
      <c r="D31" s="1">
        <v>3.1451999999999996</v>
      </c>
      <c r="E31" s="1">
        <v>5.7253999999999987</v>
      </c>
    </row>
    <row r="32" spans="1:7" x14ac:dyDescent="0.25">
      <c r="B32" s="1">
        <v>2.8645999999999994</v>
      </c>
      <c r="C32" s="1">
        <v>3.1452000000000013</v>
      </c>
      <c r="D32" s="1">
        <v>9.9457000000000004</v>
      </c>
      <c r="E32" s="1">
        <v>3.226</v>
      </c>
    </row>
    <row r="33" spans="2:5" x14ac:dyDescent="0.25">
      <c r="B33" s="1">
        <v>5.4532999999999996</v>
      </c>
      <c r="C33" s="1">
        <v>5.7254000000000032</v>
      </c>
      <c r="D33" s="1">
        <v>3.2260000000000004</v>
      </c>
      <c r="E33" s="1">
        <v>22.186</v>
      </c>
    </row>
    <row r="35" spans="2:5" ht="20.25" customHeight="1" x14ac:dyDescent="0.25">
      <c r="B35" s="58" t="s">
        <v>104</v>
      </c>
      <c r="C35" s="58"/>
      <c r="D35" s="58"/>
      <c r="E35" s="58"/>
    </row>
  </sheetData>
  <mergeCells count="3">
    <mergeCell ref="A1:F1"/>
    <mergeCell ref="A28:E28"/>
    <mergeCell ref="B35:E35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sqref="A1:F1"/>
    </sheetView>
  </sheetViews>
  <sheetFormatPr defaultRowHeight="15" x14ac:dyDescent="0.25"/>
  <cols>
    <col min="1" max="1" width="13.42578125" style="1" bestFit="1" customWidth="1"/>
    <col min="2" max="5" width="9.140625" style="1"/>
    <col min="6" max="6" width="13" style="1" customWidth="1"/>
    <col min="7" max="16384" width="9.140625" style="1"/>
  </cols>
  <sheetData>
    <row r="1" spans="1:10" ht="15.75" thickBot="1" x14ac:dyDescent="0.3">
      <c r="A1" s="50" t="s">
        <v>288</v>
      </c>
      <c r="B1" s="51"/>
      <c r="C1" s="51"/>
      <c r="D1" s="51"/>
      <c r="E1" s="51"/>
      <c r="F1" s="55"/>
    </row>
    <row r="3" spans="1:10" x14ac:dyDescent="0.25">
      <c r="B3" s="1">
        <v>24.5229</v>
      </c>
      <c r="C3" s="1">
        <v>1.1309</v>
      </c>
      <c r="D3" s="1">
        <v>2.8645999999999998</v>
      </c>
      <c r="E3" s="1">
        <v>5.4532999999999996</v>
      </c>
      <c r="G3" s="1" t="s">
        <v>105</v>
      </c>
      <c r="H3" s="1">
        <f>MDETERM(B3:E6)</f>
        <v>100420.03218383199</v>
      </c>
    </row>
    <row r="4" spans="1:10" x14ac:dyDescent="0.25">
      <c r="A4" s="1" t="s">
        <v>90</v>
      </c>
      <c r="B4" s="1">
        <v>1.1309</v>
      </c>
      <c r="C4" s="1">
        <v>23.0822</v>
      </c>
      <c r="D4" s="1">
        <v>3.1452</v>
      </c>
      <c r="E4" s="1">
        <v>5.7253999999999996</v>
      </c>
    </row>
    <row r="5" spans="1:10" x14ac:dyDescent="0.25">
      <c r="B5" s="1">
        <v>2.8645999999999998</v>
      </c>
      <c r="C5" s="1">
        <v>3.1452</v>
      </c>
      <c r="D5" s="1">
        <v>9.9457000000000004</v>
      </c>
      <c r="E5" s="1">
        <v>3.226</v>
      </c>
    </row>
    <row r="6" spans="1:10" x14ac:dyDescent="0.25">
      <c r="B6" s="1">
        <v>5.4532999999999996</v>
      </c>
      <c r="C6" s="1">
        <v>5.7253999999999996</v>
      </c>
      <c r="D6" s="1">
        <v>3.226</v>
      </c>
      <c r="E6" s="1">
        <v>22.186</v>
      </c>
    </row>
    <row r="8" spans="1:10" ht="18" x14ac:dyDescent="0.25">
      <c r="A8" s="1" t="s">
        <v>106</v>
      </c>
      <c r="B8" s="1">
        <v>23.0822</v>
      </c>
      <c r="C8" s="1">
        <v>3.1452</v>
      </c>
      <c r="D8" s="1">
        <v>5.7253999999999996</v>
      </c>
      <c r="F8" s="1" t="s">
        <v>108</v>
      </c>
      <c r="G8" s="1">
        <v>1.1309</v>
      </c>
      <c r="H8" s="1">
        <v>3.1452</v>
      </c>
      <c r="I8" s="1">
        <v>5.7253999999999996</v>
      </c>
      <c r="J8" s="36"/>
    </row>
    <row r="9" spans="1:10" x14ac:dyDescent="0.25">
      <c r="B9" s="1">
        <v>3.1452</v>
      </c>
      <c r="C9" s="1">
        <v>9.9457000000000004</v>
      </c>
      <c r="D9" s="1">
        <v>3.226</v>
      </c>
      <c r="G9" s="1">
        <v>2.8645999999999998</v>
      </c>
      <c r="H9" s="1">
        <v>9.9457000000000004</v>
      </c>
      <c r="I9" s="1">
        <v>3.226</v>
      </c>
    </row>
    <row r="10" spans="1:10" x14ac:dyDescent="0.25">
      <c r="B10" s="1">
        <v>5.7253999999999996</v>
      </c>
      <c r="C10" s="1">
        <v>3.226</v>
      </c>
      <c r="D10" s="1">
        <v>22.186</v>
      </c>
      <c r="G10" s="1">
        <v>5.4532999999999996</v>
      </c>
      <c r="H10" s="1">
        <v>3.226</v>
      </c>
      <c r="I10" s="1">
        <v>22.186</v>
      </c>
    </row>
    <row r="11" spans="1:10" ht="18" x14ac:dyDescent="0.25">
      <c r="A11" s="1" t="s">
        <v>107</v>
      </c>
      <c r="B11" s="1">
        <f>MDETERM(B8:D10)</f>
        <v>4423.6838538161483</v>
      </c>
      <c r="F11" s="1" t="s">
        <v>119</v>
      </c>
      <c r="G11" s="1">
        <f>MDETERM(G8:I10)</f>
        <v>-164.40722893391396</v>
      </c>
      <c r="H11" s="36"/>
    </row>
    <row r="13" spans="1:10" ht="18" x14ac:dyDescent="0.25">
      <c r="A13" s="1" t="s">
        <v>109</v>
      </c>
      <c r="B13" s="1">
        <v>1.1309</v>
      </c>
      <c r="C13" s="1">
        <v>23.0822</v>
      </c>
      <c r="D13" s="1">
        <v>5.7253999999999996</v>
      </c>
      <c r="E13" s="36"/>
      <c r="F13" s="1" t="s">
        <v>110</v>
      </c>
      <c r="G13" s="1">
        <v>1.1309</v>
      </c>
      <c r="H13" s="1">
        <v>23.0822</v>
      </c>
      <c r="I13" s="1">
        <v>3.1452</v>
      </c>
      <c r="J13" s="36"/>
    </row>
    <row r="14" spans="1:10" x14ac:dyDescent="0.25">
      <c r="B14" s="1">
        <v>2.8645999999999998</v>
      </c>
      <c r="C14" s="1">
        <v>3.1452</v>
      </c>
      <c r="D14" s="1">
        <v>3.226</v>
      </c>
      <c r="G14" s="1">
        <v>2.8645999999999998</v>
      </c>
      <c r="H14" s="1">
        <v>3.1452</v>
      </c>
      <c r="I14" s="1">
        <v>9.9457000000000004</v>
      </c>
    </row>
    <row r="15" spans="1:10" x14ac:dyDescent="0.25">
      <c r="B15" s="1">
        <v>5.4532999999999996</v>
      </c>
      <c r="C15" s="1">
        <v>5.7253999999999996</v>
      </c>
      <c r="D15" s="1">
        <v>22.186</v>
      </c>
      <c r="G15" s="1">
        <v>5.4532999999999996</v>
      </c>
      <c r="H15" s="1">
        <v>5.7253999999999996</v>
      </c>
      <c r="I15" s="1">
        <v>3.226</v>
      </c>
    </row>
    <row r="16" spans="1:10" ht="18" x14ac:dyDescent="0.25">
      <c r="A16" s="1" t="s">
        <v>124</v>
      </c>
      <c r="B16" s="1">
        <f>MDETERM(B13:D15)</f>
        <v>-1007.1690820107679</v>
      </c>
      <c r="C16" s="36"/>
      <c r="F16" s="1" t="s">
        <v>125</v>
      </c>
      <c r="G16" s="1">
        <f>MDETERM(G13:I15)</f>
        <v>983.31582304097594</v>
      </c>
      <c r="H16" s="36"/>
    </row>
    <row r="18" spans="1:9" ht="18" x14ac:dyDescent="0.25">
      <c r="A18" s="1" t="s">
        <v>111</v>
      </c>
      <c r="B18" s="1">
        <v>24.5229</v>
      </c>
      <c r="C18" s="1">
        <v>2.8645999999999998</v>
      </c>
      <c r="D18" s="1">
        <v>5.4532999999999996</v>
      </c>
      <c r="F18" s="1" t="s">
        <v>113</v>
      </c>
      <c r="G18" s="1">
        <v>24.5229</v>
      </c>
      <c r="H18" s="1">
        <v>1.1309</v>
      </c>
      <c r="I18" s="1">
        <v>5.4532999999999996</v>
      </c>
    </row>
    <row r="19" spans="1:9" x14ac:dyDescent="0.25">
      <c r="B19" s="1">
        <v>2.8645999999999998</v>
      </c>
      <c r="C19" s="1">
        <v>9.9457000000000004</v>
      </c>
      <c r="D19" s="1">
        <v>3.226</v>
      </c>
      <c r="G19" s="1">
        <v>2.8645999999999998</v>
      </c>
      <c r="H19" s="1">
        <v>3.1452</v>
      </c>
      <c r="I19" s="1">
        <v>3.226</v>
      </c>
    </row>
    <row r="20" spans="1:9" x14ac:dyDescent="0.25">
      <c r="B20" s="1">
        <v>5.4532999999999996</v>
      </c>
      <c r="C20" s="1">
        <v>3.226</v>
      </c>
      <c r="D20" s="1">
        <v>22.186</v>
      </c>
      <c r="G20" s="1">
        <v>5.4532999999999996</v>
      </c>
      <c r="H20" s="1">
        <v>5.7253999999999996</v>
      </c>
      <c r="I20" s="1">
        <v>22.186</v>
      </c>
    </row>
    <row r="21" spans="1:9" ht="18" x14ac:dyDescent="0.25">
      <c r="A21" s="1" t="s">
        <v>112</v>
      </c>
      <c r="B21" s="1">
        <f>MDETERM(B18:D20)</f>
        <v>4778.8594023161077</v>
      </c>
      <c r="F21" s="1" t="s">
        <v>120</v>
      </c>
      <c r="G21" s="1">
        <f>MDETERM(G18:I20)</f>
        <v>1202.1799651524436</v>
      </c>
      <c r="H21" s="36"/>
    </row>
    <row r="23" spans="1:9" ht="18" x14ac:dyDescent="0.25">
      <c r="A23" s="1" t="s">
        <v>114</v>
      </c>
      <c r="B23" s="1">
        <v>24.5229</v>
      </c>
      <c r="C23" s="1">
        <v>1.1309</v>
      </c>
      <c r="D23" s="1">
        <v>2.8645999999999998</v>
      </c>
      <c r="E23" s="36"/>
      <c r="F23" s="1" t="s">
        <v>118</v>
      </c>
      <c r="G23" s="1">
        <v>24.5229</v>
      </c>
      <c r="H23" s="1">
        <v>1.1309</v>
      </c>
      <c r="I23" s="1">
        <v>5.4532999999999996</v>
      </c>
    </row>
    <row r="24" spans="1:9" x14ac:dyDescent="0.25">
      <c r="B24" s="1">
        <v>2.8645999999999998</v>
      </c>
      <c r="C24" s="1">
        <v>3.1452</v>
      </c>
      <c r="D24" s="1">
        <v>9.9457000000000004</v>
      </c>
      <c r="G24" s="1">
        <v>1.1309</v>
      </c>
      <c r="H24" s="1">
        <v>23.0822</v>
      </c>
      <c r="I24" s="1">
        <v>5.7253999999999996</v>
      </c>
    </row>
    <row r="25" spans="1:9" x14ac:dyDescent="0.25">
      <c r="B25" s="1">
        <v>5.4532999999999996</v>
      </c>
      <c r="C25" s="1">
        <v>5.7253999999999996</v>
      </c>
      <c r="D25" s="1">
        <v>3.226</v>
      </c>
      <c r="G25" s="1">
        <v>5.4532999999999996</v>
      </c>
      <c r="H25" s="1">
        <v>5.7253999999999996</v>
      </c>
      <c r="I25" s="1">
        <v>22.186</v>
      </c>
    </row>
    <row r="26" spans="1:9" ht="18" x14ac:dyDescent="0.25">
      <c r="A26" s="1" t="s">
        <v>121</v>
      </c>
      <c r="B26" s="1">
        <f>MDETERM(B23:D25)</f>
        <v>-1098.8556294953651</v>
      </c>
      <c r="C26" s="36"/>
      <c r="F26" s="1" t="s">
        <v>115</v>
      </c>
      <c r="G26" s="1">
        <f>MDETERM(G23:I25)</f>
        <v>11110.167461686775</v>
      </c>
    </row>
    <row r="28" spans="1:9" ht="18" x14ac:dyDescent="0.25">
      <c r="A28" s="1" t="s">
        <v>116</v>
      </c>
      <c r="B28" s="1">
        <v>24.5229</v>
      </c>
      <c r="C28" s="1">
        <v>1.1309</v>
      </c>
      <c r="D28" s="1">
        <v>2.8645999999999998</v>
      </c>
      <c r="E28" s="36"/>
      <c r="F28" s="1" t="s">
        <v>117</v>
      </c>
      <c r="G28" s="1">
        <v>24.5229</v>
      </c>
      <c r="H28" s="1">
        <v>1.1309</v>
      </c>
      <c r="I28" s="1">
        <v>2.8645999999999998</v>
      </c>
    </row>
    <row r="29" spans="1:9" x14ac:dyDescent="0.25">
      <c r="B29" s="1">
        <v>1.1309</v>
      </c>
      <c r="C29" s="1">
        <v>23.0822</v>
      </c>
      <c r="D29" s="1">
        <v>3.1452</v>
      </c>
      <c r="G29" s="1">
        <v>1.1309</v>
      </c>
      <c r="H29" s="1">
        <v>23.0822</v>
      </c>
      <c r="I29" s="1">
        <v>3.1452</v>
      </c>
    </row>
    <row r="30" spans="1:9" x14ac:dyDescent="0.25">
      <c r="B30" s="1">
        <v>5.4532999999999996</v>
      </c>
      <c r="C30" s="1">
        <v>5.7253999999999996</v>
      </c>
      <c r="D30" s="1">
        <v>3.226</v>
      </c>
      <c r="G30" s="1">
        <v>2.8645999999999998</v>
      </c>
      <c r="H30" s="1">
        <v>3.1452</v>
      </c>
      <c r="I30" s="1">
        <v>9.9457000000000004</v>
      </c>
    </row>
    <row r="31" spans="1:9" ht="18" x14ac:dyDescent="0.25">
      <c r="A31" s="1" t="s">
        <v>122</v>
      </c>
      <c r="B31" s="1">
        <f>MDETERM(B28:D30)</f>
        <v>1057.6960201923921</v>
      </c>
      <c r="C31" s="36"/>
      <c r="F31" s="1" t="s">
        <v>123</v>
      </c>
      <c r="G31" s="1">
        <f>MDETERM(G28:I30)</f>
        <v>5205.3485866706369</v>
      </c>
    </row>
    <row r="33" spans="1:6" x14ac:dyDescent="0.25">
      <c r="A33" s="1" t="s">
        <v>126</v>
      </c>
      <c r="B33" s="1">
        <f>B11</f>
        <v>4423.6838538161483</v>
      </c>
      <c r="C33" s="1">
        <f>-1*G11</f>
        <v>164.40722893391396</v>
      </c>
      <c r="D33" s="1">
        <f>B16</f>
        <v>-1007.1690820107679</v>
      </c>
      <c r="E33" s="1">
        <f>-G16</f>
        <v>-983.31582304097594</v>
      </c>
    </row>
    <row r="34" spans="1:6" x14ac:dyDescent="0.25">
      <c r="B34" s="1">
        <v>164.40722893391396</v>
      </c>
      <c r="C34" s="1">
        <f>B21</f>
        <v>4778.8594023161077</v>
      </c>
      <c r="D34" s="1">
        <f>-G21</f>
        <v>-1202.1799651524436</v>
      </c>
      <c r="E34" s="1">
        <f>B26</f>
        <v>-1098.8556294953651</v>
      </c>
    </row>
    <row r="35" spans="1:6" x14ac:dyDescent="0.25">
      <c r="B35" s="1">
        <f>B16</f>
        <v>-1007.1690820107679</v>
      </c>
      <c r="C35" s="1">
        <f>-G21</f>
        <v>-1202.1799651524436</v>
      </c>
      <c r="D35" s="1">
        <f>G26</f>
        <v>11110.167461686775</v>
      </c>
      <c r="E35" s="1">
        <f>-B31</f>
        <v>-1057.6960201923921</v>
      </c>
    </row>
    <row r="36" spans="1:6" x14ac:dyDescent="0.25">
      <c r="B36" s="1">
        <f>-G16</f>
        <v>-983.31582304097594</v>
      </c>
      <c r="C36" s="1">
        <f>B26</f>
        <v>-1098.8556294953651</v>
      </c>
      <c r="D36" s="1">
        <f>-B31</f>
        <v>-1057.6960201923921</v>
      </c>
      <c r="E36" s="1">
        <f>G31</f>
        <v>5205.3485866706369</v>
      </c>
    </row>
    <row r="37" spans="1:6" ht="17.25" x14ac:dyDescent="0.25">
      <c r="A37" s="1" t="s">
        <v>128</v>
      </c>
      <c r="B37" s="1">
        <f t="array" ref="B37:E40">B33:E36/H3</f>
        <v>4.4051806772158933E-2</v>
      </c>
      <c r="C37" s="1">
        <v>1.6371955411540302E-3</v>
      </c>
      <c r="D37" s="1">
        <v>-1.0029563425821385E-2</v>
      </c>
      <c r="E37" s="1">
        <v>-9.7920285590118901E-3</v>
      </c>
    </row>
    <row r="38" spans="1:6" x14ac:dyDescent="0.25">
      <c r="B38" s="1">
        <v>1.6371955411540302E-3</v>
      </c>
      <c r="C38" s="1">
        <v>4.7588706141497551E-2</v>
      </c>
      <c r="D38" s="1">
        <v>-1.1971515433810019E-2</v>
      </c>
      <c r="E38" s="1">
        <v>-1.0942593878916173E-2</v>
      </c>
    </row>
    <row r="39" spans="1:6" x14ac:dyDescent="0.25">
      <c r="B39" s="1">
        <v>-1.0029563425821385E-2</v>
      </c>
      <c r="C39" s="1">
        <v>-1.1971515433810019E-2</v>
      </c>
      <c r="D39" s="1">
        <v>0.11063696376185342</v>
      </c>
      <c r="E39" s="1">
        <v>-1.0532719390650477E-2</v>
      </c>
    </row>
    <row r="40" spans="1:6" x14ac:dyDescent="0.25">
      <c r="B40" s="1">
        <v>-9.7920285590118901E-3</v>
      </c>
      <c r="C40" s="1">
        <v>-1.0942593878916173E-2</v>
      </c>
      <c r="D40" s="1">
        <v>-1.0532719390650477E-2</v>
      </c>
      <c r="E40" s="1">
        <v>5.1835758996188787E-2</v>
      </c>
    </row>
    <row r="41" spans="1:6" x14ac:dyDescent="0.25">
      <c r="B41" s="1">
        <f t="array" ref="B41:E44">MMULT(B3:E6,MMULT(B37:E40,B3:E6))</f>
        <v>24.522899999999993</v>
      </c>
      <c r="C41" s="1">
        <v>1.1309000000000005</v>
      </c>
      <c r="D41" s="1">
        <v>2.8646000000000007</v>
      </c>
      <c r="E41" s="1">
        <v>5.4532999999999978</v>
      </c>
    </row>
    <row r="42" spans="1:6" ht="17.25" x14ac:dyDescent="0.25">
      <c r="A42" s="1" t="s">
        <v>102</v>
      </c>
      <c r="B42" s="1">
        <v>1.1309000000000002</v>
      </c>
      <c r="C42" s="1">
        <v>23.082200000000004</v>
      </c>
      <c r="D42" s="1">
        <v>3.1452000000000009</v>
      </c>
      <c r="E42" s="1">
        <v>5.7253999999999978</v>
      </c>
      <c r="F42" s="36" t="s">
        <v>127</v>
      </c>
    </row>
    <row r="43" spans="1:6" x14ac:dyDescent="0.25">
      <c r="B43" s="1">
        <v>2.8645999999999998</v>
      </c>
      <c r="C43" s="1">
        <v>3.1452000000000018</v>
      </c>
      <c r="D43" s="1">
        <v>9.9457000000000004</v>
      </c>
      <c r="E43" s="1">
        <v>3.2259999999999991</v>
      </c>
    </row>
    <row r="44" spans="1:6" x14ac:dyDescent="0.25">
      <c r="B44" s="1">
        <v>5.4532999999999987</v>
      </c>
      <c r="C44" s="1">
        <v>5.7254000000000005</v>
      </c>
      <c r="D44" s="1">
        <v>3.226</v>
      </c>
      <c r="E44" s="1">
        <v>22.185999999999996</v>
      </c>
    </row>
  </sheetData>
  <mergeCells count="1">
    <mergeCell ref="A1:F1"/>
  </mergeCell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6" ht="15.75" thickBot="1" x14ac:dyDescent="0.3">
      <c r="A1" s="50" t="s">
        <v>287</v>
      </c>
      <c r="B1" s="51"/>
      <c r="C1" s="51"/>
      <c r="D1" s="51"/>
      <c r="E1" s="51"/>
      <c r="F1" s="55"/>
    </row>
    <row r="3" spans="1:6" x14ac:dyDescent="0.25">
      <c r="B3" s="1">
        <v>24.5229</v>
      </c>
      <c r="C3" s="1">
        <v>1.1309</v>
      </c>
      <c r="D3" s="1">
        <v>2.8645999999999998</v>
      </c>
      <c r="E3" s="1">
        <v>5.4532999999999996</v>
      </c>
    </row>
    <row r="4" spans="1:6" x14ac:dyDescent="0.25">
      <c r="A4" s="1" t="s">
        <v>90</v>
      </c>
      <c r="B4" s="1">
        <v>1.1309</v>
      </c>
      <c r="C4" s="1">
        <v>23.0822</v>
      </c>
      <c r="D4" s="1">
        <v>3.1452</v>
      </c>
      <c r="E4" s="1">
        <v>5.7253999999999996</v>
      </c>
    </row>
    <row r="5" spans="1:6" x14ac:dyDescent="0.25">
      <c r="B5" s="1">
        <v>2.8645999999999998</v>
      </c>
      <c r="C5" s="1">
        <v>3.1452</v>
      </c>
      <c r="D5" s="1">
        <v>9.9457000000000004</v>
      </c>
      <c r="E5" s="1">
        <v>3.226</v>
      </c>
    </row>
    <row r="6" spans="1:6" x14ac:dyDescent="0.25">
      <c r="B6" s="1">
        <v>5.4532999999999996</v>
      </c>
      <c r="C6" s="1">
        <v>5.7253999999999996</v>
      </c>
      <c r="D6" s="1">
        <v>3.226</v>
      </c>
      <c r="E6" s="1">
        <v>22.186</v>
      </c>
    </row>
    <row r="8" spans="1:6" x14ac:dyDescent="0.25">
      <c r="B8" s="59" t="s">
        <v>130</v>
      </c>
      <c r="C8" s="59"/>
      <c r="D8" s="59"/>
      <c r="E8" s="59"/>
    </row>
    <row r="9" spans="1:6" x14ac:dyDescent="0.25">
      <c r="B9" s="59"/>
      <c r="C9" s="59"/>
      <c r="D9" s="59"/>
      <c r="E9" s="59"/>
    </row>
    <row r="10" spans="1:6" x14ac:dyDescent="0.25">
      <c r="B10" s="1">
        <f>B3/$B$3</f>
        <v>1</v>
      </c>
      <c r="C10" s="1">
        <f t="shared" ref="C10:E10" si="0">C3/$B$3</f>
        <v>4.6116079256531647E-2</v>
      </c>
      <c r="D10" s="1">
        <f t="shared" si="0"/>
        <v>0.11681326433659966</v>
      </c>
      <c r="E10" s="1">
        <f t="shared" si="0"/>
        <v>0.22237582015177648</v>
      </c>
    </row>
    <row r="11" spans="1:6" x14ac:dyDescent="0.25">
      <c r="B11" s="1">
        <f>B4/$C$4</f>
        <v>4.899446326606649E-2</v>
      </c>
      <c r="C11" s="1">
        <f t="shared" ref="C11:E11" si="1">C4/$C$4</f>
        <v>1</v>
      </c>
      <c r="D11" s="1">
        <f t="shared" si="1"/>
        <v>0.13626084168753411</v>
      </c>
      <c r="E11" s="1">
        <f t="shared" si="1"/>
        <v>0.24804394728405435</v>
      </c>
    </row>
    <row r="15" spans="1:6" x14ac:dyDescent="0.25">
      <c r="C15" s="1" t="s">
        <v>129</v>
      </c>
    </row>
  </sheetData>
  <mergeCells count="2">
    <mergeCell ref="A1:F1"/>
    <mergeCell ref="B8:E9"/>
  </mergeCells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>
      <selection activeCell="A2" sqref="A2"/>
    </sheetView>
  </sheetViews>
  <sheetFormatPr defaultRowHeight="15" x14ac:dyDescent="0.25"/>
  <cols>
    <col min="1" max="1" width="11.5703125" style="1" bestFit="1" customWidth="1"/>
    <col min="2" max="6" width="9.140625" style="1"/>
    <col min="7" max="7" width="9.140625" style="1" customWidth="1"/>
    <col min="8" max="16384" width="9.140625" style="1"/>
  </cols>
  <sheetData>
    <row r="1" spans="1:9" ht="15.75" thickBot="1" x14ac:dyDescent="0.3">
      <c r="A1" s="50" t="s">
        <v>286</v>
      </c>
      <c r="B1" s="51"/>
      <c r="C1" s="51"/>
      <c r="D1" s="51"/>
      <c r="E1" s="51"/>
      <c r="F1" s="51"/>
      <c r="G1" s="55"/>
    </row>
    <row r="3" spans="1:9" x14ac:dyDescent="0.25">
      <c r="B3" s="1">
        <v>18</v>
      </c>
      <c r="C3" s="1">
        <v>2</v>
      </c>
      <c r="D3" s="1">
        <v>46</v>
      </c>
    </row>
    <row r="4" spans="1:9" x14ac:dyDescent="0.25">
      <c r="A4" s="1" t="s">
        <v>131</v>
      </c>
      <c r="B4" s="1">
        <v>2</v>
      </c>
      <c r="C4" s="1">
        <v>1</v>
      </c>
      <c r="D4" s="1">
        <v>2</v>
      </c>
    </row>
    <row r="5" spans="1:9" x14ac:dyDescent="0.25">
      <c r="B5" s="1">
        <v>46</v>
      </c>
      <c r="C5" s="1">
        <v>2</v>
      </c>
      <c r="D5" s="1">
        <v>130</v>
      </c>
    </row>
    <row r="7" spans="1:9" x14ac:dyDescent="0.25">
      <c r="A7" s="1" t="s">
        <v>132</v>
      </c>
      <c r="B7" s="1">
        <f>MDETERM(B3:D5)</f>
        <v>0</v>
      </c>
    </row>
    <row r="8" spans="1:9" ht="15.75" thickBot="1" x14ac:dyDescent="0.3">
      <c r="A8" s="18"/>
      <c r="B8" s="18"/>
      <c r="C8" s="18"/>
      <c r="D8" s="18"/>
      <c r="E8" s="18"/>
      <c r="F8" s="18"/>
      <c r="G8" s="18"/>
      <c r="H8" s="18"/>
      <c r="I8" s="18"/>
    </row>
    <row r="9" spans="1:9" x14ac:dyDescent="0.25">
      <c r="A9" s="63" t="s">
        <v>133</v>
      </c>
      <c r="B9" s="63"/>
      <c r="C9" s="63"/>
      <c r="D9" s="63"/>
      <c r="E9" s="40"/>
      <c r="F9" s="15"/>
      <c r="G9" s="15"/>
      <c r="H9" s="15"/>
      <c r="I9" s="15"/>
    </row>
    <row r="10" spans="1:9" x14ac:dyDescent="0.25">
      <c r="A10" s="40"/>
      <c r="B10" s="40"/>
      <c r="C10" s="40"/>
      <c r="D10" s="40"/>
      <c r="E10" s="40"/>
      <c r="F10" s="15"/>
      <c r="G10" s="15"/>
      <c r="H10" s="15"/>
      <c r="I10" s="15"/>
    </row>
    <row r="11" spans="1:9" ht="18" x14ac:dyDescent="0.25">
      <c r="A11" s="15" t="s">
        <v>166</v>
      </c>
      <c r="B11" s="15">
        <v>18</v>
      </c>
      <c r="C11" s="15">
        <v>2</v>
      </c>
      <c r="D11" s="15"/>
      <c r="E11" s="15"/>
      <c r="F11" s="15"/>
      <c r="G11" s="15"/>
      <c r="H11" s="15"/>
      <c r="I11" s="15"/>
    </row>
    <row r="12" spans="1:9" x14ac:dyDescent="0.25">
      <c r="A12" s="15"/>
      <c r="B12" s="15">
        <v>2</v>
      </c>
      <c r="C12" s="15">
        <v>1</v>
      </c>
      <c r="D12" s="15"/>
      <c r="E12" s="15"/>
      <c r="F12" s="15"/>
      <c r="G12" s="15"/>
      <c r="H12" s="15"/>
      <c r="I12" s="15"/>
    </row>
    <row r="13" spans="1:9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 t="s">
        <v>167</v>
      </c>
      <c r="B14" s="15">
        <f t="array" ref="B14:C15">MINVERSE(B11:C12)</f>
        <v>7.1428571428571425E-2</v>
      </c>
      <c r="C14" s="15">
        <v>-0.14285714285714285</v>
      </c>
      <c r="D14" s="15"/>
      <c r="E14" s="15"/>
      <c r="F14" s="15" t="s">
        <v>168</v>
      </c>
      <c r="G14" s="15">
        <f t="array" ref="G14:H15">TRANSPOSE(B14:C15)</f>
        <v>7.1428571428571425E-2</v>
      </c>
      <c r="H14" s="15">
        <v>-0.14285714285714285</v>
      </c>
      <c r="I14" s="15"/>
    </row>
    <row r="15" spans="1:9" x14ac:dyDescent="0.25">
      <c r="A15" s="15"/>
      <c r="B15" s="15">
        <v>-0.14285714285714285</v>
      </c>
      <c r="C15" s="15">
        <v>1.2857142857142856</v>
      </c>
      <c r="D15" s="15"/>
      <c r="E15" s="15"/>
      <c r="F15" s="15"/>
      <c r="G15" s="15">
        <v>-0.14285714285714285</v>
      </c>
      <c r="H15" s="15">
        <v>1.2857142857142856</v>
      </c>
      <c r="I15" s="15"/>
    </row>
    <row r="16" spans="1:9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A17" s="15" t="s">
        <v>134</v>
      </c>
      <c r="B17" s="15">
        <v>7.1428571428571425E-2</v>
      </c>
      <c r="C17" s="15">
        <v>-0.14285714285714285</v>
      </c>
      <c r="D17" s="15">
        <v>0</v>
      </c>
      <c r="E17" s="41" t="s">
        <v>135</v>
      </c>
      <c r="F17" s="15">
        <f t="array" ref="F17:H19">TRANSPOSE(B17:D19)</f>
        <v>7.1428571428571425E-2</v>
      </c>
      <c r="G17" s="15">
        <v>-0.14285714285714285</v>
      </c>
      <c r="H17" s="15">
        <v>0</v>
      </c>
      <c r="I17" s="15"/>
    </row>
    <row r="18" spans="1:9" x14ac:dyDescent="0.25">
      <c r="A18" s="15"/>
      <c r="B18" s="15">
        <v>-0.14285714285714285</v>
      </c>
      <c r="C18" s="15">
        <v>1.2857142857142856</v>
      </c>
      <c r="D18" s="15">
        <v>0</v>
      </c>
      <c r="E18" s="15" t="s">
        <v>136</v>
      </c>
      <c r="F18" s="15">
        <v>-0.14285714285714285</v>
      </c>
      <c r="G18" s="15">
        <v>1.2857142857142856</v>
      </c>
      <c r="H18" s="15">
        <v>0</v>
      </c>
      <c r="I18" s="15"/>
    </row>
    <row r="19" spans="1:9" x14ac:dyDescent="0.25">
      <c r="A19" s="15"/>
      <c r="B19" s="15">
        <v>0</v>
      </c>
      <c r="C19" s="15">
        <v>0</v>
      </c>
      <c r="D19" s="15">
        <v>0</v>
      </c>
      <c r="E19" s="15"/>
      <c r="F19" s="15">
        <v>0</v>
      </c>
      <c r="G19" s="15">
        <v>0</v>
      </c>
      <c r="H19" s="15">
        <v>0</v>
      </c>
      <c r="I19" s="15"/>
    </row>
    <row r="20" spans="1:9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A21" s="64" t="s">
        <v>103</v>
      </c>
      <c r="B21" s="64"/>
      <c r="C21" s="64"/>
      <c r="D21" s="64"/>
      <c r="E21" s="15"/>
      <c r="F21" s="15"/>
      <c r="G21" s="15"/>
      <c r="H21" s="15"/>
      <c r="I21" s="15"/>
    </row>
    <row r="22" spans="1:9" x14ac:dyDescent="0.25">
      <c r="A22" s="15" t="s">
        <v>137</v>
      </c>
      <c r="B22" s="15">
        <f t="array" ref="B22:D24">MMULT(B3:D5,MMULT(F17:H19,TRANSPOSE(B3:D5)))</f>
        <v>17.999999999999996</v>
      </c>
      <c r="C22" s="15">
        <v>1.9999999999999998</v>
      </c>
      <c r="D22" s="15">
        <v>46</v>
      </c>
      <c r="E22" s="15" t="s">
        <v>138</v>
      </c>
      <c r="F22" s="15"/>
      <c r="G22" s="15"/>
      <c r="H22" s="15"/>
      <c r="I22" s="15"/>
    </row>
    <row r="23" spans="1:9" x14ac:dyDescent="0.25">
      <c r="A23" s="15"/>
      <c r="B23" s="15">
        <v>1.9999999999999998</v>
      </c>
      <c r="C23" s="15">
        <v>0.99999999999999989</v>
      </c>
      <c r="D23" s="15">
        <v>2</v>
      </c>
      <c r="E23" s="15"/>
      <c r="F23" s="15"/>
      <c r="G23" s="15"/>
      <c r="H23" s="15"/>
      <c r="I23" s="15"/>
    </row>
    <row r="24" spans="1:9" x14ac:dyDescent="0.25">
      <c r="A24" s="15"/>
      <c r="B24" s="15">
        <v>45.999999999999993</v>
      </c>
      <c r="C24" s="15">
        <v>1.9999999999999998</v>
      </c>
      <c r="D24" s="15">
        <v>130</v>
      </c>
      <c r="E24" s="15"/>
      <c r="F24" s="15"/>
      <c r="G24" s="15"/>
      <c r="H24" s="15"/>
      <c r="I24" s="15"/>
    </row>
    <row r="25" spans="1:9" ht="15.75" thickBot="1" x14ac:dyDescent="0.3">
      <c r="A25" s="18"/>
      <c r="B25" s="18"/>
      <c r="C25" s="18"/>
      <c r="D25" s="18"/>
      <c r="E25" s="18"/>
      <c r="F25" s="18"/>
      <c r="G25" s="18"/>
      <c r="H25" s="18"/>
      <c r="I25" s="18"/>
    </row>
    <row r="26" spans="1:9" x14ac:dyDescent="0.25">
      <c r="A26" s="60" t="s">
        <v>139</v>
      </c>
      <c r="B26" s="60"/>
      <c r="C26" s="60"/>
      <c r="D26" s="60"/>
      <c r="E26" s="38"/>
    </row>
    <row r="28" spans="1:9" x14ac:dyDescent="0.25">
      <c r="B28" s="1">
        <v>18</v>
      </c>
      <c r="C28" s="1">
        <v>2</v>
      </c>
      <c r="D28" s="1">
        <v>46</v>
      </c>
      <c r="F28" s="1" t="s">
        <v>140</v>
      </c>
      <c r="G28" s="1">
        <f t="array" ref="G28:I30">TRANSPOSE(B28:D30)</f>
        <v>18</v>
      </c>
      <c r="H28" s="1">
        <v>2</v>
      </c>
      <c r="I28" s="1">
        <v>46</v>
      </c>
    </row>
    <row r="29" spans="1:9" x14ac:dyDescent="0.25">
      <c r="A29" s="1" t="s">
        <v>131</v>
      </c>
      <c r="B29" s="1">
        <v>2</v>
      </c>
      <c r="C29" s="1">
        <v>1</v>
      </c>
      <c r="D29" s="1">
        <v>2</v>
      </c>
      <c r="G29" s="1">
        <v>2</v>
      </c>
      <c r="H29" s="1">
        <v>1</v>
      </c>
      <c r="I29" s="1">
        <v>2</v>
      </c>
    </row>
    <row r="30" spans="1:9" x14ac:dyDescent="0.25">
      <c r="B30" s="1">
        <v>46</v>
      </c>
      <c r="C30" s="1">
        <v>2</v>
      </c>
      <c r="D30" s="1">
        <v>130</v>
      </c>
      <c r="G30" s="1">
        <v>46</v>
      </c>
      <c r="H30" s="1">
        <v>2</v>
      </c>
      <c r="I30" s="1">
        <v>130</v>
      </c>
    </row>
    <row r="32" spans="1:9" x14ac:dyDescent="0.25">
      <c r="A32" s="1" t="s">
        <v>141</v>
      </c>
      <c r="B32" s="1">
        <f t="array" ref="B32:D34">MMULT(B28:D30,G28:I30)</f>
        <v>2444</v>
      </c>
      <c r="C32" s="1">
        <v>130</v>
      </c>
      <c r="D32" s="1">
        <v>6812</v>
      </c>
    </row>
    <row r="33" spans="1:9" x14ac:dyDescent="0.25">
      <c r="B33" s="1">
        <v>130</v>
      </c>
      <c r="C33" s="1">
        <v>9</v>
      </c>
      <c r="D33" s="1">
        <v>354</v>
      </c>
      <c r="F33" s="1" t="s">
        <v>142</v>
      </c>
      <c r="G33" s="39">
        <f>MDETERM(B32:D34)</f>
        <v>-5.8658997659222231E-9</v>
      </c>
    </row>
    <row r="34" spans="1:9" x14ac:dyDescent="0.25">
      <c r="B34" s="1">
        <v>6812</v>
      </c>
      <c r="C34" s="1">
        <v>354</v>
      </c>
      <c r="D34" s="1">
        <v>19020</v>
      </c>
    </row>
    <row r="36" spans="1:9" ht="18" x14ac:dyDescent="0.25">
      <c r="A36" s="1" t="s">
        <v>143</v>
      </c>
      <c r="B36" s="1">
        <f t="array" ref="B36:C37">MINVERSE(B32:C33)</f>
        <v>1.7660910518053378E-3</v>
      </c>
      <c r="C36" s="1">
        <v>-2.5510204081632657E-2</v>
      </c>
      <c r="D36" s="1">
        <v>0</v>
      </c>
      <c r="F36" s="1" t="s">
        <v>144</v>
      </c>
      <c r="G36" s="1">
        <f t="array" ref="G36:I38">MMULT(G28:I30,B36:D38)</f>
        <v>-1.9230769230769232E-2</v>
      </c>
      <c r="H36" s="1">
        <v>0.50000000000000011</v>
      </c>
      <c r="I36" s="1">
        <v>0</v>
      </c>
    </row>
    <row r="37" spans="1:9" x14ac:dyDescent="0.25">
      <c r="B37" s="1">
        <v>-2.5510204081632657E-2</v>
      </c>
      <c r="C37" s="1">
        <v>0.47959183673469397</v>
      </c>
      <c r="D37" s="1">
        <v>0</v>
      </c>
      <c r="G37" s="1">
        <v>-2.1978021978021983E-2</v>
      </c>
      <c r="H37" s="1">
        <v>0.42857142857142866</v>
      </c>
      <c r="I37" s="1">
        <v>0</v>
      </c>
    </row>
    <row r="38" spans="1:9" x14ac:dyDescent="0.25">
      <c r="B38" s="1">
        <v>0</v>
      </c>
      <c r="C38" s="1">
        <v>0</v>
      </c>
      <c r="D38" s="1">
        <v>0</v>
      </c>
      <c r="G38" s="1">
        <v>3.021978021978023E-2</v>
      </c>
      <c r="H38" s="1">
        <v>-0.21428571428571419</v>
      </c>
      <c r="I38" s="1">
        <v>0</v>
      </c>
    </row>
    <row r="40" spans="1:9" ht="18" x14ac:dyDescent="0.25">
      <c r="A40" s="1" t="s">
        <v>145</v>
      </c>
      <c r="B40" s="1">
        <f t="array" ref="B40:D42">MMULT(B28:D30,MMULT(G36:I38,B28:D30))</f>
        <v>18.000000000000021</v>
      </c>
      <c r="C40" s="1">
        <v>2.000000000000008</v>
      </c>
      <c r="D40" s="1">
        <v>46.000000000000028</v>
      </c>
      <c r="E40" s="1" t="s">
        <v>146</v>
      </c>
    </row>
    <row r="41" spans="1:9" x14ac:dyDescent="0.25">
      <c r="B41" s="1">
        <v>2.0000000000000013</v>
      </c>
      <c r="C41" s="1">
        <v>1.0000000000000004</v>
      </c>
      <c r="D41" s="1">
        <v>2.0000000000000013</v>
      </c>
    </row>
    <row r="42" spans="1:9" x14ac:dyDescent="0.25">
      <c r="B42" s="1">
        <v>46.000000000000057</v>
      </c>
      <c r="C42" s="1">
        <v>2.0000000000000213</v>
      </c>
      <c r="D42" s="1">
        <v>130.00000000000009</v>
      </c>
    </row>
    <row r="43" spans="1:9" x14ac:dyDescent="0.25">
      <c r="A43" s="1" t="s">
        <v>147</v>
      </c>
    </row>
    <row r="44" spans="1:9" x14ac:dyDescent="0.25">
      <c r="A44" s="1" t="s">
        <v>148</v>
      </c>
      <c r="B44" s="1">
        <f t="array" ref="B44:D46">MMULT(G28:I30,B28:D30)</f>
        <v>2444</v>
      </c>
      <c r="C44" s="1">
        <v>130</v>
      </c>
      <c r="D44" s="1">
        <v>6812</v>
      </c>
      <c r="F44" s="1" t="s">
        <v>149</v>
      </c>
      <c r="G44" s="39">
        <f t="array" ref="G44">MDETERM(B44:D46)</f>
        <v>-5.8658997659222231E-9</v>
      </c>
    </row>
    <row r="45" spans="1:9" x14ac:dyDescent="0.25">
      <c r="B45" s="1">
        <v>130</v>
      </c>
      <c r="C45" s="1">
        <v>9</v>
      </c>
      <c r="D45" s="1">
        <v>354</v>
      </c>
    </row>
    <row r="46" spans="1:9" x14ac:dyDescent="0.25">
      <c r="B46" s="1">
        <v>6812</v>
      </c>
      <c r="C46" s="1">
        <v>354</v>
      </c>
      <c r="D46" s="1">
        <v>19020</v>
      </c>
    </row>
    <row r="48" spans="1:9" ht="18" x14ac:dyDescent="0.25">
      <c r="A48" s="1" t="s">
        <v>150</v>
      </c>
      <c r="B48" s="1">
        <f t="array" ref="B48:C49">MINVERSE(B44:C45)</f>
        <v>1.7660910518053378E-3</v>
      </c>
      <c r="C48" s="1">
        <v>-2.5510204081632657E-2</v>
      </c>
      <c r="D48" s="1">
        <v>0</v>
      </c>
      <c r="F48" s="1" t="s">
        <v>151</v>
      </c>
      <c r="G48" s="1">
        <f t="array" ref="G48:I50">MMULT(B48:D50,B28:D30)</f>
        <v>-1.9230769230769232E-2</v>
      </c>
      <c r="H48" s="1">
        <v>-2.1978021978021983E-2</v>
      </c>
      <c r="I48" s="1">
        <v>3.021978021978023E-2</v>
      </c>
    </row>
    <row r="49" spans="1:9" x14ac:dyDescent="0.25">
      <c r="B49" s="1">
        <v>-2.5510204081632657E-2</v>
      </c>
      <c r="C49" s="1">
        <v>0.47959183673469397</v>
      </c>
      <c r="D49" s="1">
        <v>0</v>
      </c>
      <c r="G49" s="1">
        <v>0.50000000000000011</v>
      </c>
      <c r="H49" s="1">
        <v>0.42857142857142866</v>
      </c>
      <c r="I49" s="1">
        <v>-0.21428571428571419</v>
      </c>
    </row>
    <row r="50" spans="1:9" x14ac:dyDescent="0.25">
      <c r="B50" s="1">
        <v>0</v>
      </c>
      <c r="C50" s="1">
        <v>0</v>
      </c>
      <c r="D50" s="1">
        <v>0</v>
      </c>
      <c r="G50" s="1">
        <v>0</v>
      </c>
      <c r="H50" s="1">
        <v>0</v>
      </c>
      <c r="I50" s="1">
        <v>0</v>
      </c>
    </row>
    <row r="53" spans="1:9" ht="18" x14ac:dyDescent="0.25">
      <c r="A53" s="1" t="s">
        <v>152</v>
      </c>
      <c r="B53" s="1">
        <f t="array" ref="B53:D55">MMULT(B28:D30,MMULT(G48:I50,B28:D30))</f>
        <v>18.000000000000021</v>
      </c>
      <c r="C53" s="1">
        <v>2.0000000000000013</v>
      </c>
      <c r="D53" s="1">
        <v>46.000000000000064</v>
      </c>
      <c r="E53" s="1" t="s">
        <v>146</v>
      </c>
    </row>
    <row r="54" spans="1:9" x14ac:dyDescent="0.25">
      <c r="B54" s="1">
        <v>2.000000000000008</v>
      </c>
      <c r="C54" s="1">
        <v>1.0000000000000004</v>
      </c>
      <c r="D54" s="1">
        <v>2.0000000000000213</v>
      </c>
    </row>
    <row r="55" spans="1:9" x14ac:dyDescent="0.25">
      <c r="B55" s="1">
        <v>46.000000000000036</v>
      </c>
      <c r="C55" s="1">
        <v>2.0000000000000013</v>
      </c>
      <c r="D55" s="1">
        <v>130.00000000000011</v>
      </c>
    </row>
    <row r="58" spans="1:9" ht="18" x14ac:dyDescent="0.25">
      <c r="A58" s="1" t="s">
        <v>153</v>
      </c>
      <c r="B58" s="1">
        <f t="array" ref="B58:D60">MMULT(G36:I38,MMULT(B28:D30,G48:I50))</f>
        <v>0.21819526627218946</v>
      </c>
      <c r="C58" s="1">
        <v>0.183431952662722</v>
      </c>
      <c r="D58" s="1">
        <v>-7.9142011834319501E-2</v>
      </c>
    </row>
    <row r="59" spans="1:9" x14ac:dyDescent="0.25">
      <c r="B59" s="1">
        <v>0.183431952662722</v>
      </c>
      <c r="C59" s="1">
        <v>0.15469146238377013</v>
      </c>
      <c r="D59" s="1">
        <v>-6.8469991546914605E-2</v>
      </c>
    </row>
    <row r="60" spans="1:9" x14ac:dyDescent="0.25">
      <c r="B60" s="1">
        <v>-7.9142011834319487E-2</v>
      </c>
      <c r="C60" s="1">
        <v>-6.8469991546914605E-2</v>
      </c>
      <c r="D60" s="1">
        <v>3.6453930684699896E-2</v>
      </c>
    </row>
    <row r="62" spans="1:9" x14ac:dyDescent="0.25">
      <c r="A62" s="58" t="s">
        <v>103</v>
      </c>
      <c r="B62" s="58"/>
      <c r="C62" s="58"/>
      <c r="D62" s="58"/>
    </row>
    <row r="63" spans="1:9" x14ac:dyDescent="0.25">
      <c r="A63" s="1" t="s">
        <v>154</v>
      </c>
      <c r="B63" s="1">
        <f t="array" ref="B63:D65">MMULT(B28:D30,MMULT(B58:D60,B28:D30))</f>
        <v>18.000000000000078</v>
      </c>
      <c r="C63" s="1">
        <v>2.0000000000000089</v>
      </c>
      <c r="D63" s="1">
        <v>46.000000000000135</v>
      </c>
      <c r="E63" s="1" t="s">
        <v>146</v>
      </c>
    </row>
    <row r="64" spans="1:9" x14ac:dyDescent="0.25">
      <c r="B64" s="1">
        <v>2.0000000000000107</v>
      </c>
      <c r="C64" s="1">
        <v>1.0000000000000013</v>
      </c>
      <c r="D64" s="1">
        <v>2.0000000000000231</v>
      </c>
    </row>
    <row r="65" spans="1:9" x14ac:dyDescent="0.25">
      <c r="A65" s="15"/>
      <c r="B65" s="15">
        <v>46.000000000000185</v>
      </c>
      <c r="C65" s="15">
        <v>2.0000000000000249</v>
      </c>
      <c r="D65" s="15">
        <v>130.00000000000031</v>
      </c>
      <c r="E65" s="15"/>
      <c r="F65" s="15"/>
      <c r="G65" s="15"/>
      <c r="H65" s="15"/>
      <c r="I65" s="15"/>
    </row>
    <row r="66" spans="1:9" ht="15.75" thickBot="1" x14ac:dyDescent="0.3">
      <c r="A66" s="18"/>
      <c r="B66" s="18"/>
      <c r="C66" s="18"/>
      <c r="D66" s="18"/>
      <c r="E66" s="18"/>
      <c r="F66" s="18"/>
      <c r="G66" s="18"/>
      <c r="H66" s="18"/>
      <c r="I66" s="18"/>
    </row>
    <row r="67" spans="1:9" x14ac:dyDescent="0.25">
      <c r="A67" s="60" t="s">
        <v>155</v>
      </c>
      <c r="B67" s="60"/>
      <c r="C67" s="60"/>
      <c r="D67" s="60"/>
    </row>
    <row r="68" spans="1:9" ht="18" x14ac:dyDescent="0.25">
      <c r="A68" s="1" t="s">
        <v>156</v>
      </c>
      <c r="B68" s="1">
        <f t="array" ref="B68:D70">B17:D19</f>
        <v>7.1428571428571425E-2</v>
      </c>
      <c r="C68" s="1">
        <v>-0.14285714285714285</v>
      </c>
      <c r="D68" s="1">
        <v>0</v>
      </c>
      <c r="F68" s="15" t="s">
        <v>165</v>
      </c>
      <c r="G68" s="1">
        <v>2</v>
      </c>
      <c r="H68" s="1">
        <v>46</v>
      </c>
    </row>
    <row r="69" spans="1:9" x14ac:dyDescent="0.25">
      <c r="B69" s="1">
        <v>-0.14285714285714285</v>
      </c>
      <c r="C69" s="1">
        <v>1.2857142857142856</v>
      </c>
      <c r="D69" s="1">
        <v>0</v>
      </c>
      <c r="G69" s="1">
        <v>1</v>
      </c>
      <c r="H69" s="1">
        <v>2</v>
      </c>
    </row>
    <row r="70" spans="1:9" ht="18" x14ac:dyDescent="0.25">
      <c r="B70" s="1">
        <v>0</v>
      </c>
      <c r="C70" s="1">
        <v>0</v>
      </c>
      <c r="D70" s="1">
        <v>0</v>
      </c>
      <c r="F70" s="15" t="s">
        <v>168</v>
      </c>
      <c r="G70" s="1">
        <f t="array" ref="G70:H71">TRANSPOSE(MINVERSE(G68:H69))</f>
        <v>-4.7619047619047561E-2</v>
      </c>
      <c r="H70" s="1">
        <v>2.3809523809523808E-2</v>
      </c>
    </row>
    <row r="71" spans="1:9" x14ac:dyDescent="0.25">
      <c r="G71" s="1">
        <v>1.0952380952380951</v>
      </c>
      <c r="H71" s="1">
        <v>-4.7619047619047616E-2</v>
      </c>
    </row>
    <row r="72" spans="1:9" ht="17.25" x14ac:dyDescent="0.25">
      <c r="A72" s="1" t="s">
        <v>157</v>
      </c>
      <c r="B72" s="1">
        <v>0</v>
      </c>
      <c r="C72" s="1">
        <v>-4.7619047619047561E-2</v>
      </c>
      <c r="D72" s="1">
        <v>2.3809523809523808E-2</v>
      </c>
      <c r="E72" s="27" t="s">
        <v>169</v>
      </c>
      <c r="F72" s="1">
        <f t="array" ref="F72:H74">TRANSPOSE(B72:D74)</f>
        <v>0</v>
      </c>
      <c r="G72" s="1">
        <v>0</v>
      </c>
      <c r="H72" s="1">
        <v>0</v>
      </c>
    </row>
    <row r="73" spans="1:9" x14ac:dyDescent="0.25">
      <c r="B73" s="1">
        <v>0</v>
      </c>
      <c r="C73" s="1">
        <v>1.0952380952380951</v>
      </c>
      <c r="D73" s="1">
        <v>-4.7619047619047616E-2</v>
      </c>
      <c r="F73" s="1">
        <v>-4.7619047619047561E-2</v>
      </c>
      <c r="G73" s="1">
        <v>1.0952380952380951</v>
      </c>
      <c r="H73" s="1">
        <v>0</v>
      </c>
    </row>
    <row r="74" spans="1:9" x14ac:dyDescent="0.25">
      <c r="B74" s="1">
        <v>0</v>
      </c>
      <c r="C74" s="1">
        <v>0</v>
      </c>
      <c r="D74" s="1">
        <v>0</v>
      </c>
      <c r="F74" s="1">
        <v>2.3809523809523808E-2</v>
      </c>
      <c r="G74" s="1">
        <v>-4.7619047619047616E-2</v>
      </c>
      <c r="H74" s="1">
        <v>0</v>
      </c>
    </row>
    <row r="76" spans="1:9" ht="17.25" x14ac:dyDescent="0.25">
      <c r="A76" s="1" t="s">
        <v>158</v>
      </c>
      <c r="B76" s="1">
        <f t="array" ref="B76:D78">MMULT(B68:D70,MMULT(B28:D30,F72:H74))</f>
        <v>7.1428571428571411E-2</v>
      </c>
      <c r="C76" s="1">
        <v>-0.14285714285714282</v>
      </c>
      <c r="D76" s="1">
        <v>0</v>
      </c>
      <c r="E76" s="1" t="s">
        <v>159</v>
      </c>
      <c r="F76" s="33" t="s">
        <v>160</v>
      </c>
      <c r="G76" s="27">
        <v>2</v>
      </c>
    </row>
    <row r="77" spans="1:9" x14ac:dyDescent="0.25">
      <c r="B77" s="1">
        <v>-0.14285714285714277</v>
      </c>
      <c r="C77" s="1">
        <v>1.2857142857142854</v>
      </c>
      <c r="D77" s="1">
        <v>0</v>
      </c>
      <c r="F77" s="1" t="s">
        <v>161</v>
      </c>
    </row>
    <row r="78" spans="1:9" x14ac:dyDescent="0.25">
      <c r="B78" s="1">
        <v>0</v>
      </c>
      <c r="C78" s="1">
        <v>0</v>
      </c>
      <c r="D78" s="1">
        <v>0</v>
      </c>
      <c r="F78" s="33" t="s">
        <v>162</v>
      </c>
      <c r="G78" s="27">
        <v>2</v>
      </c>
    </row>
    <row r="80" spans="1:9" ht="19.5" customHeight="1" x14ac:dyDescent="0.25">
      <c r="A80" s="61" t="s">
        <v>164</v>
      </c>
      <c r="B80" s="62"/>
      <c r="C80" s="62"/>
      <c r="D80" s="62"/>
      <c r="E80" s="62"/>
    </row>
    <row r="82" spans="1:5" x14ac:dyDescent="0.25">
      <c r="A82" s="1" t="s">
        <v>163</v>
      </c>
      <c r="B82" s="1">
        <f t="array" ref="B82:D84">MMULT(B28:D30,MMULT(B76:D78,B28:D30))</f>
        <v>18</v>
      </c>
      <c r="C82" s="1">
        <v>1.9999999999999996</v>
      </c>
      <c r="D82" s="1">
        <v>45.999999999999993</v>
      </c>
      <c r="E82" s="1" t="s">
        <v>146</v>
      </c>
    </row>
    <row r="83" spans="1:5" x14ac:dyDescent="0.25">
      <c r="B83" s="1">
        <v>2.0000000000000004</v>
      </c>
      <c r="C83" s="1">
        <v>0.99999999999999978</v>
      </c>
      <c r="D83" s="1">
        <v>2.0000000000000013</v>
      </c>
    </row>
    <row r="84" spans="1:5" x14ac:dyDescent="0.25">
      <c r="B84" s="1">
        <v>45.999999999999993</v>
      </c>
      <c r="C84" s="1">
        <v>1.9999999999999996</v>
      </c>
      <c r="D84" s="1">
        <v>129.99999999999997</v>
      </c>
    </row>
    <row r="86" spans="1:5" x14ac:dyDescent="0.25">
      <c r="A86" s="61" t="s">
        <v>170</v>
      </c>
      <c r="B86" s="62"/>
      <c r="C86" s="62"/>
      <c r="D86" s="62"/>
      <c r="E86" s="62"/>
    </row>
  </sheetData>
  <mergeCells count="8">
    <mergeCell ref="A67:D67"/>
    <mergeCell ref="A80:E80"/>
    <mergeCell ref="A86:E86"/>
    <mergeCell ref="A1:G1"/>
    <mergeCell ref="A9:D9"/>
    <mergeCell ref="A26:D26"/>
    <mergeCell ref="A62:D62"/>
    <mergeCell ref="A21:D21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0" ht="15.75" customHeight="1" thickBot="1" x14ac:dyDescent="0.3">
      <c r="A1" s="50" t="s">
        <v>285</v>
      </c>
      <c r="B1" s="51"/>
      <c r="C1" s="51"/>
      <c r="D1" s="51"/>
      <c r="E1" s="51"/>
      <c r="F1" s="51"/>
      <c r="G1" s="52"/>
    </row>
    <row r="3" spans="1:10" x14ac:dyDescent="0.25">
      <c r="A3" s="1" t="s">
        <v>171</v>
      </c>
      <c r="B3" s="1">
        <v>2</v>
      </c>
      <c r="C3" s="1">
        <v>2</v>
      </c>
      <c r="D3" s="1">
        <v>1</v>
      </c>
      <c r="F3" s="1" t="s">
        <v>177</v>
      </c>
      <c r="G3" s="1">
        <v>1</v>
      </c>
      <c r="H3" s="1">
        <v>0</v>
      </c>
      <c r="I3" s="1">
        <v>0</v>
      </c>
    </row>
    <row r="4" spans="1:10" x14ac:dyDescent="0.25">
      <c r="B4" s="1">
        <v>1</v>
      </c>
      <c r="C4" s="1">
        <v>3</v>
      </c>
      <c r="D4" s="1">
        <v>1</v>
      </c>
      <c r="G4" s="1">
        <v>0</v>
      </c>
      <c r="H4" s="1">
        <v>1</v>
      </c>
      <c r="I4" s="1">
        <v>0</v>
      </c>
    </row>
    <row r="5" spans="1:10" x14ac:dyDescent="0.25">
      <c r="B5" s="1">
        <v>1</v>
      </c>
      <c r="C5" s="1">
        <v>2</v>
      </c>
      <c r="D5" s="1">
        <v>2</v>
      </c>
      <c r="G5" s="1">
        <v>0</v>
      </c>
      <c r="H5" s="1">
        <v>0</v>
      </c>
      <c r="I5" s="1">
        <v>1</v>
      </c>
    </row>
    <row r="7" spans="1:10" x14ac:dyDescent="0.25">
      <c r="A7" s="59" t="s">
        <v>172</v>
      </c>
      <c r="B7" s="59"/>
      <c r="C7" s="59"/>
      <c r="D7" s="59"/>
      <c r="E7" s="59"/>
      <c r="F7" s="1" t="s">
        <v>159</v>
      </c>
      <c r="G7" s="59" t="s">
        <v>184</v>
      </c>
      <c r="H7" s="59"/>
      <c r="I7" s="59"/>
    </row>
    <row r="8" spans="1:10" x14ac:dyDescent="0.25">
      <c r="A8" s="42"/>
      <c r="B8" s="42"/>
      <c r="C8" s="42"/>
      <c r="D8" s="42"/>
      <c r="E8" s="42"/>
      <c r="G8" s="42"/>
      <c r="H8" s="42"/>
      <c r="I8" s="42"/>
    </row>
    <row r="9" spans="1:10" x14ac:dyDescent="0.25">
      <c r="A9" s="59" t="s">
        <v>185</v>
      </c>
      <c r="B9" s="59"/>
      <c r="C9" s="59"/>
      <c r="D9" s="59"/>
      <c r="G9" s="59" t="s">
        <v>186</v>
      </c>
      <c r="H9" s="59"/>
      <c r="I9" s="59"/>
      <c r="J9" s="59"/>
    </row>
    <row r="11" spans="1:10" x14ac:dyDescent="0.25">
      <c r="B11" s="1">
        <v>1</v>
      </c>
      <c r="D11" s="1">
        <v>0</v>
      </c>
      <c r="H11" s="1">
        <v>1</v>
      </c>
    </row>
    <row r="12" spans="1:10" x14ac:dyDescent="0.25">
      <c r="B12" s="1">
        <v>0</v>
      </c>
      <c r="D12" s="1">
        <v>1</v>
      </c>
      <c r="H12" s="1">
        <v>1</v>
      </c>
    </row>
    <row r="13" spans="1:10" x14ac:dyDescent="0.25">
      <c r="B13" s="1">
        <v>-1</v>
      </c>
      <c r="D13" s="1">
        <v>-2</v>
      </c>
      <c r="H13" s="1">
        <v>1</v>
      </c>
    </row>
    <row r="14" spans="1:10" ht="18.75" customHeight="1" x14ac:dyDescent="0.25">
      <c r="A14" s="59" t="s">
        <v>173</v>
      </c>
      <c r="B14" s="59"/>
      <c r="C14" s="59"/>
      <c r="D14" s="59"/>
      <c r="E14" s="59"/>
    </row>
    <row r="16" spans="1:10" x14ac:dyDescent="0.25">
      <c r="A16" s="58" t="s">
        <v>179</v>
      </c>
      <c r="B16" s="58"/>
      <c r="C16" s="59"/>
    </row>
    <row r="17" spans="1:12" x14ac:dyDescent="0.25">
      <c r="A17" s="1" t="s">
        <v>181</v>
      </c>
      <c r="B17" s="1">
        <f t="array" ref="B17:D19">MMULT(B3:D5,MMULT(B3:D5,B3:D5))</f>
        <v>32</v>
      </c>
      <c r="C17" s="1">
        <v>62</v>
      </c>
      <c r="D17" s="1">
        <v>31</v>
      </c>
      <c r="E17" s="1" t="s">
        <v>180</v>
      </c>
      <c r="F17" s="1">
        <f t="array" ref="F17:H19">7*MMULT(B3:D5,B3:D5)</f>
        <v>49</v>
      </c>
      <c r="G17" s="1">
        <v>84</v>
      </c>
      <c r="H17" s="1">
        <v>42</v>
      </c>
      <c r="I17" s="1" t="s">
        <v>176</v>
      </c>
      <c r="J17" s="1">
        <f t="array" ref="J17:L19">11*B3:D5</f>
        <v>22</v>
      </c>
      <c r="K17" s="1">
        <v>22</v>
      </c>
      <c r="L17" s="1">
        <v>11</v>
      </c>
    </row>
    <row r="18" spans="1:12" x14ac:dyDescent="0.25">
      <c r="B18" s="1">
        <v>31</v>
      </c>
      <c r="C18" s="1">
        <v>63</v>
      </c>
      <c r="D18" s="1">
        <v>31</v>
      </c>
      <c r="F18" s="1">
        <v>42</v>
      </c>
      <c r="G18" s="1">
        <v>91</v>
      </c>
      <c r="H18" s="1">
        <v>42</v>
      </c>
      <c r="J18" s="1">
        <v>11</v>
      </c>
      <c r="K18" s="1">
        <v>33</v>
      </c>
      <c r="L18" s="1">
        <v>11</v>
      </c>
    </row>
    <row r="19" spans="1:12" x14ac:dyDescent="0.25">
      <c r="B19" s="1">
        <v>31</v>
      </c>
      <c r="C19" s="1">
        <v>62</v>
      </c>
      <c r="D19" s="1">
        <v>32</v>
      </c>
      <c r="F19" s="1">
        <v>42</v>
      </c>
      <c r="G19" s="1">
        <v>84</v>
      </c>
      <c r="H19" s="1">
        <v>49</v>
      </c>
      <c r="J19" s="1">
        <v>11</v>
      </c>
      <c r="K19" s="1">
        <v>22</v>
      </c>
      <c r="L19" s="1">
        <v>22</v>
      </c>
    </row>
    <row r="20" spans="1:12" x14ac:dyDescent="0.25">
      <c r="B20" s="1" t="s">
        <v>175</v>
      </c>
      <c r="C20" s="1">
        <f t="array" ref="C20:E22">5*G3:I5</f>
        <v>5</v>
      </c>
      <c r="D20" s="1">
        <v>0</v>
      </c>
      <c r="E20" s="1">
        <v>0</v>
      </c>
      <c r="G20" s="1" t="s">
        <v>182</v>
      </c>
      <c r="H20" s="1">
        <f t="shared" ref="H20:J22" si="0">B17-F17+J17-C20</f>
        <v>0</v>
      </c>
      <c r="I20" s="1">
        <f t="shared" si="0"/>
        <v>0</v>
      </c>
      <c r="J20" s="1">
        <f t="shared" si="0"/>
        <v>0</v>
      </c>
      <c r="K20" s="1" t="s">
        <v>183</v>
      </c>
    </row>
    <row r="21" spans="1:12" x14ac:dyDescent="0.25">
      <c r="C21" s="1">
        <v>0</v>
      </c>
      <c r="D21" s="1">
        <v>5</v>
      </c>
      <c r="E21" s="1">
        <v>0</v>
      </c>
      <c r="H21" s="1">
        <f t="shared" si="0"/>
        <v>0</v>
      </c>
      <c r="I21" s="1">
        <f t="shared" si="0"/>
        <v>0</v>
      </c>
      <c r="J21" s="1">
        <f t="shared" si="0"/>
        <v>0</v>
      </c>
    </row>
    <row r="22" spans="1:12" x14ac:dyDescent="0.25">
      <c r="C22" s="1">
        <v>0</v>
      </c>
      <c r="D22" s="1">
        <v>0</v>
      </c>
      <c r="E22" s="1">
        <v>5</v>
      </c>
      <c r="H22" s="1">
        <f t="shared" si="0"/>
        <v>0</v>
      </c>
      <c r="I22" s="1">
        <f t="shared" si="0"/>
        <v>0</v>
      </c>
      <c r="J22" s="1">
        <f t="shared" si="0"/>
        <v>0</v>
      </c>
    </row>
    <row r="23" spans="1:12" ht="17.25" x14ac:dyDescent="0.25">
      <c r="A23" s="1" t="s">
        <v>128</v>
      </c>
      <c r="B23" s="59" t="s">
        <v>174</v>
      </c>
      <c r="C23" s="59"/>
    </row>
    <row r="24" spans="1:12" x14ac:dyDescent="0.25">
      <c r="B24" s="59"/>
      <c r="C24" s="59"/>
    </row>
    <row r="25" spans="1:12" x14ac:dyDescent="0.25">
      <c r="A25" s="35" t="s">
        <v>136</v>
      </c>
      <c r="B25" s="1">
        <f t="array" ref="B25:D27">MMULT(B3:D5,B3:D5)/5</f>
        <v>1.4</v>
      </c>
      <c r="C25" s="1">
        <v>2.4</v>
      </c>
      <c r="D25" s="1">
        <v>1.2</v>
      </c>
      <c r="E25" s="1" t="s">
        <v>175</v>
      </c>
      <c r="F25" s="1">
        <f t="array" ref="F25:H27">7*B3:D5/5</f>
        <v>2.8</v>
      </c>
      <c r="G25" s="1">
        <v>2.8</v>
      </c>
      <c r="H25" s="1">
        <v>1.4</v>
      </c>
      <c r="I25" s="1" t="s">
        <v>176</v>
      </c>
      <c r="J25" s="1">
        <f t="array" ref="J25:L27">11*G3:I5/5</f>
        <v>2.2000000000000002</v>
      </c>
      <c r="K25" s="1">
        <v>0</v>
      </c>
      <c r="L25" s="1">
        <v>0</v>
      </c>
    </row>
    <row r="26" spans="1:12" x14ac:dyDescent="0.25">
      <c r="B26" s="1">
        <v>1.2</v>
      </c>
      <c r="C26" s="1">
        <v>2.6</v>
      </c>
      <c r="D26" s="1">
        <v>1.2</v>
      </c>
      <c r="F26" s="1">
        <v>1.4</v>
      </c>
      <c r="G26" s="1">
        <v>4.2</v>
      </c>
      <c r="H26" s="1">
        <v>1.4</v>
      </c>
      <c r="J26" s="1">
        <v>0</v>
      </c>
      <c r="K26" s="1">
        <v>2.2000000000000002</v>
      </c>
      <c r="L26" s="1">
        <v>0</v>
      </c>
    </row>
    <row r="27" spans="1:12" x14ac:dyDescent="0.25">
      <c r="B27" s="1">
        <v>1.2</v>
      </c>
      <c r="C27" s="1">
        <v>2.4</v>
      </c>
      <c r="D27" s="1">
        <v>1.4</v>
      </c>
      <c r="F27" s="1">
        <v>1.4</v>
      </c>
      <c r="G27" s="1">
        <v>2.8</v>
      </c>
      <c r="H27" s="1">
        <v>2.8</v>
      </c>
      <c r="J27" s="1">
        <v>0</v>
      </c>
      <c r="K27" s="1">
        <v>0</v>
      </c>
      <c r="L27" s="1">
        <v>2.2000000000000002</v>
      </c>
    </row>
    <row r="28" spans="1:12" x14ac:dyDescent="0.25">
      <c r="A28" s="35" t="s">
        <v>136</v>
      </c>
      <c r="B28" s="1">
        <f>B25-F25+J25</f>
        <v>0.80000000000000027</v>
      </c>
      <c r="C28" s="1">
        <f t="shared" ref="C28:D28" si="1">C25-G25+K25</f>
        <v>-0.39999999999999991</v>
      </c>
      <c r="D28" s="1">
        <f t="shared" si="1"/>
        <v>-0.19999999999999996</v>
      </c>
    </row>
    <row r="29" spans="1:12" x14ac:dyDescent="0.25">
      <c r="B29" s="1">
        <f t="shared" ref="B29:B30" si="2">B26-F26+J26</f>
        <v>-0.19999999999999996</v>
      </c>
      <c r="C29" s="1">
        <f t="shared" ref="C29:C30" si="3">C26-G26+K26</f>
        <v>0.60000000000000009</v>
      </c>
      <c r="D29" s="1">
        <f t="shared" ref="D29:D30" si="4">D26-H26+L26</f>
        <v>-0.19999999999999996</v>
      </c>
    </row>
    <row r="30" spans="1:12" x14ac:dyDescent="0.25">
      <c r="B30" s="1">
        <f t="shared" si="2"/>
        <v>-0.19999999999999996</v>
      </c>
      <c r="C30" s="1">
        <f t="shared" si="3"/>
        <v>-0.39999999999999991</v>
      </c>
      <c r="D30" s="1">
        <f t="shared" si="4"/>
        <v>0.80000000000000027</v>
      </c>
    </row>
    <row r="32" spans="1:12" ht="17.25" x14ac:dyDescent="0.25">
      <c r="A32" s="58" t="s">
        <v>187</v>
      </c>
      <c r="B32" s="58"/>
      <c r="C32" s="59"/>
      <c r="D32" s="1" t="s">
        <v>102</v>
      </c>
      <c r="E32" s="1">
        <f t="array" ref="E32:G34">MMULT(B3:D5,MMULT(B28:D30,B3:D5))</f>
        <v>2.0000000000000022</v>
      </c>
      <c r="F32" s="1">
        <v>2.0000000000000036</v>
      </c>
      <c r="G32" s="1">
        <v>1.000000000000002</v>
      </c>
      <c r="H32" s="1" t="s">
        <v>178</v>
      </c>
    </row>
    <row r="33" spans="1:7" x14ac:dyDescent="0.25">
      <c r="A33" s="37"/>
      <c r="B33" s="37"/>
      <c r="E33" s="1">
        <v>1.0000000000000018</v>
      </c>
      <c r="F33" s="1">
        <v>3.0000000000000031</v>
      </c>
      <c r="G33" s="1">
        <v>1.0000000000000018</v>
      </c>
    </row>
    <row r="34" spans="1:7" x14ac:dyDescent="0.25">
      <c r="E34" s="1">
        <v>1.000000000000002</v>
      </c>
      <c r="F34" s="1">
        <v>2.0000000000000036</v>
      </c>
      <c r="G34" s="1">
        <v>2.0000000000000022</v>
      </c>
    </row>
  </sheetData>
  <mergeCells count="9">
    <mergeCell ref="A14:E14"/>
    <mergeCell ref="B23:C24"/>
    <mergeCell ref="A32:C32"/>
    <mergeCell ref="A16:C16"/>
    <mergeCell ref="A1:G1"/>
    <mergeCell ref="A7:E7"/>
    <mergeCell ref="G7:I7"/>
    <mergeCell ref="A9:D9"/>
    <mergeCell ref="G9:J9"/>
  </mergeCells>
  <pageMargins left="0.7" right="0.7" top="0.75" bottom="0.75" header="0.3" footer="0.3"/>
  <pageSetup orientation="landscape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7" ht="15.75" thickBot="1" x14ac:dyDescent="0.3">
      <c r="A1" s="50" t="s">
        <v>284</v>
      </c>
      <c r="B1" s="51"/>
      <c r="C1" s="51"/>
      <c r="D1" s="51"/>
      <c r="E1" s="51"/>
      <c r="F1" s="51"/>
      <c r="G1" s="52"/>
    </row>
    <row r="2" spans="1:7" x14ac:dyDescent="0.25">
      <c r="A2" s="44"/>
      <c r="B2" s="44"/>
      <c r="C2" s="44"/>
      <c r="D2" s="44"/>
      <c r="E2" s="44"/>
      <c r="F2" s="44"/>
      <c r="G2" s="44"/>
    </row>
    <row r="3" spans="1:7" x14ac:dyDescent="0.25">
      <c r="B3" s="1">
        <v>4.7350000000000003</v>
      </c>
      <c r="C3" s="1">
        <v>0.56220000000000003</v>
      </c>
      <c r="D3" s="1">
        <v>1.4684999999999999</v>
      </c>
      <c r="G3" s="1">
        <v>-2.5499999999999998</v>
      </c>
    </row>
    <row r="4" spans="1:7" x14ac:dyDescent="0.25">
      <c r="A4" s="1" t="s">
        <v>90</v>
      </c>
      <c r="B4" s="1">
        <v>0.56220000000000003</v>
      </c>
      <c r="C4" s="1">
        <v>0.14130000000000001</v>
      </c>
      <c r="D4" s="1">
        <v>0.21740000000000001</v>
      </c>
      <c r="F4" s="1" t="s">
        <v>91</v>
      </c>
      <c r="G4" s="1">
        <v>0.4</v>
      </c>
    </row>
    <row r="5" spans="1:7" x14ac:dyDescent="0.25">
      <c r="B5" s="1">
        <v>1.4684999999999999</v>
      </c>
      <c r="C5" s="1">
        <v>0.21740000000000001</v>
      </c>
      <c r="D5" s="1">
        <v>0.57020000000000004</v>
      </c>
      <c r="G5" s="1">
        <v>0.02</v>
      </c>
    </row>
    <row r="8" spans="1:7" x14ac:dyDescent="0.25">
      <c r="B8" s="1">
        <v>4.7350000000000003</v>
      </c>
      <c r="C8" s="1">
        <v>0.56220000000000003</v>
      </c>
      <c r="D8" s="1">
        <v>1.4684999999999999</v>
      </c>
      <c r="E8" s="1">
        <v>-2.5499999999999998</v>
      </c>
    </row>
    <row r="9" spans="1:7" x14ac:dyDescent="0.25">
      <c r="A9" s="1" t="s">
        <v>188</v>
      </c>
      <c r="B9" s="1">
        <v>0.56220000000000003</v>
      </c>
      <c r="C9" s="1">
        <v>0.14130000000000001</v>
      </c>
      <c r="D9" s="1">
        <v>0.21740000000000001</v>
      </c>
      <c r="E9" s="1">
        <v>0.4</v>
      </c>
    </row>
    <row r="10" spans="1:7" x14ac:dyDescent="0.25">
      <c r="B10" s="1">
        <v>1.4684999999999999</v>
      </c>
      <c r="C10" s="1">
        <v>0.21740000000000001</v>
      </c>
      <c r="D10" s="1">
        <v>0.57020000000000004</v>
      </c>
      <c r="E10" s="1">
        <v>0.02</v>
      </c>
    </row>
    <row r="11" spans="1:7" x14ac:dyDescent="0.25">
      <c r="B11" s="1">
        <f t="array" ref="B11:D11">TRANSPOSE(E8:E10)</f>
        <v>-2.5499999999999998</v>
      </c>
      <c r="C11" s="1">
        <v>0.4</v>
      </c>
      <c r="D11" s="1">
        <v>0.02</v>
      </c>
      <c r="E11" s="1">
        <v>0</v>
      </c>
    </row>
    <row r="13" spans="1:7" x14ac:dyDescent="0.25">
      <c r="A13" s="59" t="s">
        <v>189</v>
      </c>
      <c r="B13" s="59"/>
      <c r="C13" s="59"/>
      <c r="D13" s="59"/>
      <c r="E13" s="59"/>
      <c r="F13" s="59"/>
    </row>
    <row r="14" spans="1:7" x14ac:dyDescent="0.25">
      <c r="A14" s="59"/>
      <c r="B14" s="59"/>
      <c r="C14" s="59"/>
      <c r="D14" s="59"/>
      <c r="E14" s="59"/>
      <c r="F14" s="59"/>
    </row>
    <row r="16" spans="1:7" x14ac:dyDescent="0.25">
      <c r="A16" s="1" t="s">
        <v>188</v>
      </c>
      <c r="B16" s="43">
        <v>4.7350000000000003</v>
      </c>
      <c r="C16" s="43">
        <v>0.56220000000000003</v>
      </c>
      <c r="D16" s="43">
        <v>1.4684999999999999</v>
      </c>
      <c r="E16" s="43">
        <v>-2.5499999999999998</v>
      </c>
    </row>
    <row r="17" spans="1:5" x14ac:dyDescent="0.25">
      <c r="B17" s="43">
        <f>B9-$B$9/$B$8*B8</f>
        <v>0</v>
      </c>
      <c r="C17" s="43">
        <f t="shared" ref="C17:E17" si="0">C9-$B$9/$B$8*C8</f>
        <v>7.454839704329462E-2</v>
      </c>
      <c r="D17" s="43">
        <f t="shared" si="0"/>
        <v>4.3040823653643118E-2</v>
      </c>
      <c r="E17" s="43">
        <f t="shared" si="0"/>
        <v>0.70276874340021123</v>
      </c>
    </row>
    <row r="18" spans="1:5" x14ac:dyDescent="0.25">
      <c r="B18" s="43">
        <f>B10-$B$10/$B$8*B8</f>
        <v>0</v>
      </c>
      <c r="C18" s="43">
        <f t="shared" ref="C18:E18" si="1">C10-$B$10/$B$8*C8</f>
        <v>4.3040823653643118E-2</v>
      </c>
      <c r="D18" s="43">
        <f t="shared" si="1"/>
        <v>0.1147634107708555</v>
      </c>
      <c r="E18" s="43">
        <f t="shared" si="1"/>
        <v>0.81085005279831024</v>
      </c>
    </row>
    <row r="19" spans="1:5" x14ac:dyDescent="0.25">
      <c r="B19" s="43">
        <f>B11-$B$11/$B$8*B8</f>
        <v>0</v>
      </c>
      <c r="C19" s="43">
        <f t="shared" ref="C19:E19" si="2">C11-$B$11/$B$8*C8</f>
        <v>0.70276874340021123</v>
      </c>
      <c r="D19" s="43">
        <f t="shared" si="2"/>
        <v>0.81085005279831035</v>
      </c>
      <c r="E19" s="43">
        <f t="shared" si="2"/>
        <v>-1.3732840549102425</v>
      </c>
    </row>
    <row r="21" spans="1:5" x14ac:dyDescent="0.25">
      <c r="A21" s="59" t="s">
        <v>190</v>
      </c>
      <c r="B21" s="59"/>
      <c r="C21" s="59"/>
      <c r="D21" s="59"/>
      <c r="E21" s="59"/>
    </row>
    <row r="23" spans="1:5" x14ac:dyDescent="0.25">
      <c r="B23" s="43">
        <v>4.7350000000000003</v>
      </c>
      <c r="C23" s="43">
        <v>0.56220000000000003</v>
      </c>
      <c r="D23" s="43">
        <v>1.4684999999999999</v>
      </c>
      <c r="E23" s="43">
        <v>-2.5499999999999998</v>
      </c>
    </row>
    <row r="24" spans="1:5" x14ac:dyDescent="0.25">
      <c r="A24" s="1" t="s">
        <v>188</v>
      </c>
      <c r="B24" s="43">
        <v>0</v>
      </c>
      <c r="C24" s="43">
        <v>7.454839704329462E-2</v>
      </c>
      <c r="D24" s="43">
        <v>4.3040823653643118E-2</v>
      </c>
      <c r="E24" s="43">
        <v>0.70276874340021123</v>
      </c>
    </row>
    <row r="25" spans="1:5" x14ac:dyDescent="0.25">
      <c r="B25" s="43">
        <f>B18-$C$18/$C$17*B17</f>
        <v>0</v>
      </c>
      <c r="C25" s="43">
        <f t="shared" ref="C25:E25" si="3">C18-$C$18/$C$17*C17</f>
        <v>0</v>
      </c>
      <c r="D25" s="43">
        <f t="shared" si="3"/>
        <v>8.9913614205704109E-2</v>
      </c>
      <c r="E25" s="43">
        <f t="shared" si="3"/>
        <v>0.40510362827875651</v>
      </c>
    </row>
    <row r="26" spans="1:5" x14ac:dyDescent="0.25">
      <c r="B26" s="43">
        <f>B19-$C$19/$C$17*B17</f>
        <v>0</v>
      </c>
      <c r="C26" s="43">
        <f t="shared" ref="C26:E26" si="4">C19-$C$19/$C$17*C17</f>
        <v>0</v>
      </c>
      <c r="D26" s="43">
        <f t="shared" si="4"/>
        <v>0.40510362827875662</v>
      </c>
      <c r="E26" s="43">
        <f t="shared" si="4"/>
        <v>-7.9982944681252262</v>
      </c>
    </row>
    <row r="28" spans="1:5" x14ac:dyDescent="0.25">
      <c r="A28" s="66" t="s">
        <v>191</v>
      </c>
      <c r="B28" s="66"/>
      <c r="C28" s="66"/>
      <c r="D28" s="66"/>
      <c r="E28" s="66"/>
    </row>
    <row r="30" spans="1:5" x14ac:dyDescent="0.25">
      <c r="B30" s="43">
        <v>4.7350000000000003</v>
      </c>
      <c r="C30" s="43">
        <v>0.56220000000000003</v>
      </c>
      <c r="D30" s="43">
        <v>1.4684999999999999</v>
      </c>
      <c r="E30" s="43">
        <v>-2.5499999999999998</v>
      </c>
    </row>
    <row r="31" spans="1:5" x14ac:dyDescent="0.25">
      <c r="A31" s="1" t="s">
        <v>188</v>
      </c>
      <c r="B31" s="43">
        <v>0</v>
      </c>
      <c r="C31" s="43">
        <v>7.454839704329462E-2</v>
      </c>
      <c r="D31" s="43">
        <v>4.3040823653643118E-2</v>
      </c>
      <c r="E31" s="43">
        <v>0.70276874340021123</v>
      </c>
    </row>
    <row r="32" spans="1:5" x14ac:dyDescent="0.25">
      <c r="B32" s="43">
        <v>0</v>
      </c>
      <c r="C32" s="43">
        <v>0</v>
      </c>
      <c r="D32" s="43">
        <v>8.9913614205704109E-2</v>
      </c>
      <c r="E32" s="43">
        <v>0.40510362827875651</v>
      </c>
    </row>
    <row r="33" spans="1:7" x14ac:dyDescent="0.25">
      <c r="B33" s="43">
        <f>B26-$D$26/$D$25*B25</f>
        <v>0</v>
      </c>
      <c r="C33" s="43">
        <f t="shared" ref="C33:E33" si="5">C26-$D$26/$D$25*C25</f>
        <v>0</v>
      </c>
      <c r="D33" s="43">
        <f t="shared" si="5"/>
        <v>0</v>
      </c>
      <c r="E33" s="43">
        <f t="shared" si="5"/>
        <v>-9.8234791311414966</v>
      </c>
    </row>
    <row r="35" spans="1:7" x14ac:dyDescent="0.25">
      <c r="A35" s="59" t="s">
        <v>192</v>
      </c>
      <c r="B35" s="59"/>
      <c r="C35" s="1" t="s">
        <v>193</v>
      </c>
      <c r="D35" s="43">
        <v>4.7350000000000003</v>
      </c>
      <c r="E35" s="43">
        <v>0.56220000000000003</v>
      </c>
      <c r="F35" s="43">
        <v>1.4684999999999999</v>
      </c>
    </row>
    <row r="36" spans="1:7" x14ac:dyDescent="0.25">
      <c r="D36" s="43">
        <v>0</v>
      </c>
      <c r="E36" s="43">
        <v>7.454839704329462E-2</v>
      </c>
      <c r="F36" s="43">
        <v>4.3040823653643118E-2</v>
      </c>
    </row>
    <row r="37" spans="1:7" x14ac:dyDescent="0.25">
      <c r="D37" s="43">
        <v>0</v>
      </c>
      <c r="E37" s="43">
        <v>0</v>
      </c>
      <c r="F37" s="43">
        <v>8.9913614205704109E-2</v>
      </c>
    </row>
    <row r="38" spans="1:7" x14ac:dyDescent="0.25">
      <c r="C38" s="1" t="s">
        <v>194</v>
      </c>
      <c r="D38" s="43">
        <v>-2.5499999999999998</v>
      </c>
      <c r="F38" s="1" t="s">
        <v>195</v>
      </c>
      <c r="G38" s="43">
        <v>-9.8234791311414966</v>
      </c>
    </row>
    <row r="39" spans="1:7" x14ac:dyDescent="0.25">
      <c r="D39" s="43">
        <v>0.70276874340021123</v>
      </c>
    </row>
    <row r="40" spans="1:7" x14ac:dyDescent="0.25">
      <c r="D40" s="43">
        <v>0.40510362827875651</v>
      </c>
    </row>
    <row r="42" spans="1:7" x14ac:dyDescent="0.25">
      <c r="A42" s="65" t="s">
        <v>196</v>
      </c>
      <c r="B42" s="65"/>
      <c r="C42" s="65"/>
      <c r="D42" s="43">
        <f>-G38</f>
        <v>9.8234791311414966</v>
      </c>
    </row>
    <row r="44" spans="1:7" ht="17.25" x14ac:dyDescent="0.25">
      <c r="A44" s="58" t="s">
        <v>197</v>
      </c>
      <c r="B44" s="58"/>
      <c r="C44" s="58"/>
      <c r="D44" s="1" t="s">
        <v>198</v>
      </c>
      <c r="E44" s="1">
        <f t="array" ref="E44">MMULT(TRANSPOSE(G3:G5),MMULT(MINVERSE(B3:D5),G3:G5))</f>
        <v>9.8234791311414948</v>
      </c>
      <c r="F44" s="1" t="s">
        <v>199</v>
      </c>
    </row>
    <row r="46" spans="1:7" ht="15" customHeight="1" x14ac:dyDescent="0.25">
      <c r="C46" s="58" t="s">
        <v>200</v>
      </c>
      <c r="D46" s="58"/>
      <c r="E46" s="58"/>
      <c r="F46" s="58"/>
      <c r="G46" s="58"/>
    </row>
  </sheetData>
  <mergeCells count="8">
    <mergeCell ref="A42:C42"/>
    <mergeCell ref="A44:C44"/>
    <mergeCell ref="C46:G46"/>
    <mergeCell ref="A21:E21"/>
    <mergeCell ref="A1:G1"/>
    <mergeCell ref="A13:F14"/>
    <mergeCell ref="A28:E28"/>
    <mergeCell ref="A35:B35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11" sqref="H11"/>
    </sheetView>
  </sheetViews>
  <sheetFormatPr defaultRowHeight="15" x14ac:dyDescent="0.25"/>
  <cols>
    <col min="1" max="1" width="9.140625" style="1"/>
    <col min="2" max="2" width="9.140625" style="1" customWidth="1"/>
    <col min="3" max="7" width="9.140625" style="1"/>
    <col min="8" max="8" width="9.140625" style="1" customWidth="1"/>
    <col min="9" max="16384" width="9.140625" style="1"/>
  </cols>
  <sheetData>
    <row r="1" spans="1:7" ht="15.75" thickBot="1" x14ac:dyDescent="0.3">
      <c r="A1" s="50" t="s">
        <v>283</v>
      </c>
      <c r="B1" s="51"/>
      <c r="C1" s="51"/>
      <c r="D1" s="51"/>
      <c r="E1" s="51"/>
      <c r="F1" s="51"/>
      <c r="G1" s="55"/>
    </row>
    <row r="3" spans="1:7" ht="18" x14ac:dyDescent="0.25">
      <c r="A3" s="2" t="s">
        <v>201</v>
      </c>
      <c r="B3" s="1">
        <v>2</v>
      </c>
      <c r="C3" s="2" t="s">
        <v>202</v>
      </c>
      <c r="D3" s="1">
        <v>6</v>
      </c>
      <c r="E3" s="2" t="s">
        <v>203</v>
      </c>
      <c r="F3" s="1">
        <v>0</v>
      </c>
    </row>
    <row r="4" spans="1:7" x14ac:dyDescent="0.25">
      <c r="B4" s="1">
        <v>3</v>
      </c>
      <c r="D4" s="1">
        <v>1</v>
      </c>
      <c r="F4" s="1">
        <v>2</v>
      </c>
    </row>
    <row r="5" spans="1:7" x14ac:dyDescent="0.25">
      <c r="B5" s="1">
        <v>0</v>
      </c>
      <c r="D5" s="1">
        <v>0</v>
      </c>
      <c r="F5" s="1">
        <v>4</v>
      </c>
    </row>
    <row r="7" spans="1:7" ht="18" x14ac:dyDescent="0.25">
      <c r="A7" s="2" t="s">
        <v>204</v>
      </c>
      <c r="B7" s="1">
        <v>2</v>
      </c>
      <c r="D7" s="2" t="s">
        <v>205</v>
      </c>
      <c r="E7" s="1">
        <f>SUMSQ(B7:B9)</f>
        <v>13</v>
      </c>
    </row>
    <row r="8" spans="1:7" x14ac:dyDescent="0.25">
      <c r="B8" s="1">
        <v>3</v>
      </c>
    </row>
    <row r="9" spans="1:7" x14ac:dyDescent="0.25">
      <c r="B9" s="1">
        <v>0</v>
      </c>
    </row>
    <row r="11" spans="1:7" ht="18" x14ac:dyDescent="0.25">
      <c r="A11" s="2" t="s">
        <v>206</v>
      </c>
      <c r="B11" s="1">
        <f t="array" ref="B11:B13">D3:D5-SUMPRODUCT(D3:D5,B7:B9)/E7*B7:B9</f>
        <v>3.6923076923076925</v>
      </c>
      <c r="D11" s="2" t="s">
        <v>207</v>
      </c>
      <c r="E11" s="1">
        <f>SUMSQ(B11:B13)</f>
        <v>19.692307692307693</v>
      </c>
    </row>
    <row r="12" spans="1:7" x14ac:dyDescent="0.25">
      <c r="B12" s="1">
        <v>-2.4615384615384612</v>
      </c>
    </row>
    <row r="13" spans="1:7" x14ac:dyDescent="0.25">
      <c r="B13" s="1">
        <v>0</v>
      </c>
    </row>
    <row r="15" spans="1:7" ht="18" x14ac:dyDescent="0.25">
      <c r="A15" s="2" t="s">
        <v>208</v>
      </c>
      <c r="B15" s="39">
        <f t="array" ref="B15:B17">F3:F5-SUMPRODUCT(F3:F5,B7:B9)/E7*B7:B9-SUMPRODUCT(F3:F5,B11:B13)/E11*B11:B13</f>
        <v>-2.2204460492503131E-16</v>
      </c>
      <c r="D15" s="2" t="s">
        <v>209</v>
      </c>
      <c r="E15" s="1">
        <f>SUMSQ(B15:B17)</f>
        <v>16</v>
      </c>
    </row>
    <row r="16" spans="1:7" x14ac:dyDescent="0.25">
      <c r="B16" s="39">
        <v>2.2204460492503131E-16</v>
      </c>
    </row>
    <row r="17" spans="1:8" x14ac:dyDescent="0.25">
      <c r="B17" s="39">
        <v>4</v>
      </c>
    </row>
    <row r="19" spans="1:8" ht="18" x14ac:dyDescent="0.25">
      <c r="A19" s="2" t="s">
        <v>210</v>
      </c>
      <c r="B19" s="1">
        <f t="array" ref="B19:B21">B7:B9/SQRT(E7)</f>
        <v>0.55470019622522915</v>
      </c>
      <c r="D19" s="2" t="s">
        <v>210</v>
      </c>
      <c r="E19" s="1">
        <f t="array" ref="E19:E21">B11:B13/SQRT(E11)</f>
        <v>0.83205029433784372</v>
      </c>
      <c r="G19" s="2" t="s">
        <v>213</v>
      </c>
      <c r="H19" s="39">
        <f t="array" ref="H19:H21">B15:B17/SQRT(E15)</f>
        <v>-5.5511151231257827E-17</v>
      </c>
    </row>
    <row r="20" spans="1:8" x14ac:dyDescent="0.25">
      <c r="B20" s="1">
        <v>0.83205029433784372</v>
      </c>
      <c r="E20" s="1">
        <v>-0.55470019622522904</v>
      </c>
      <c r="H20" s="39">
        <v>5.5511151231257827E-17</v>
      </c>
    </row>
    <row r="21" spans="1:8" x14ac:dyDescent="0.25">
      <c r="B21" s="1">
        <v>0</v>
      </c>
      <c r="E21" s="1">
        <v>0</v>
      </c>
      <c r="H21" s="39">
        <v>1</v>
      </c>
    </row>
    <row r="23" spans="1:8" ht="18" x14ac:dyDescent="0.25">
      <c r="A23" s="2" t="s">
        <v>211</v>
      </c>
      <c r="B23" s="1">
        <f>SQRT(SUMSQ(B19:B21))</f>
        <v>1</v>
      </c>
      <c r="D23" s="2" t="s">
        <v>212</v>
      </c>
      <c r="E23" s="1">
        <f>SQRT(SUMSQ(E19:E21))</f>
        <v>1</v>
      </c>
      <c r="G23" s="2" t="s">
        <v>214</v>
      </c>
      <c r="H23" s="1">
        <f>SQRT(SUMSQ(H19:H21))</f>
        <v>1</v>
      </c>
    </row>
  </sheetData>
  <mergeCells count="1">
    <mergeCell ref="A1:G1"/>
  </mergeCells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A2" sqref="A2"/>
    </sheetView>
  </sheetViews>
  <sheetFormatPr defaultRowHeight="15" x14ac:dyDescent="0.25"/>
  <cols>
    <col min="1" max="14" width="6.28515625" style="1" customWidth="1"/>
    <col min="15" max="16384" width="9.140625" style="1"/>
  </cols>
  <sheetData>
    <row r="1" spans="1:14" ht="15.75" thickBot="1" x14ac:dyDescent="0.3">
      <c r="A1" s="50" t="s">
        <v>282</v>
      </c>
      <c r="B1" s="51"/>
      <c r="C1" s="51"/>
      <c r="D1" s="51"/>
      <c r="E1" s="51"/>
      <c r="F1" s="51"/>
      <c r="G1" s="67"/>
      <c r="H1" s="55"/>
    </row>
    <row r="3" spans="1:14" ht="16.5" customHeight="1" x14ac:dyDescent="0.35">
      <c r="A3" s="59" t="s">
        <v>215</v>
      </c>
      <c r="B3" s="59"/>
      <c r="C3" s="68" t="s">
        <v>216</v>
      </c>
      <c r="D3" s="68"/>
      <c r="E3" s="68"/>
      <c r="F3" s="68"/>
    </row>
    <row r="5" spans="1:14" x14ac:dyDescent="0.25">
      <c r="A5" s="1" t="s">
        <v>90</v>
      </c>
      <c r="B5" s="1">
        <v>0</v>
      </c>
      <c r="C5" s="1">
        <v>0.5</v>
      </c>
      <c r="D5" s="1">
        <v>0.5</v>
      </c>
      <c r="E5" s="1">
        <v>0.5</v>
      </c>
    </row>
    <row r="6" spans="1:14" x14ac:dyDescent="0.25">
      <c r="B6" s="1">
        <v>0.5</v>
      </c>
      <c r="C6" s="1">
        <v>0</v>
      </c>
      <c r="D6" s="1">
        <v>0.5</v>
      </c>
      <c r="E6" s="1">
        <v>0.5</v>
      </c>
    </row>
    <row r="7" spans="1:14" x14ac:dyDescent="0.25">
      <c r="B7" s="1">
        <v>0.5</v>
      </c>
      <c r="C7" s="1">
        <v>0.5</v>
      </c>
      <c r="D7" s="1">
        <v>0</v>
      </c>
      <c r="E7" s="1">
        <v>0.5</v>
      </c>
    </row>
    <row r="8" spans="1:14" x14ac:dyDescent="0.25">
      <c r="B8" s="1">
        <v>0.5</v>
      </c>
      <c r="C8" s="1">
        <v>0.5</v>
      </c>
      <c r="D8" s="1">
        <v>0.5</v>
      </c>
      <c r="E8" s="1">
        <v>0</v>
      </c>
    </row>
    <row r="10" spans="1:14" x14ac:dyDescent="0.25">
      <c r="A10" s="1" t="s">
        <v>217</v>
      </c>
      <c r="B10" s="27" t="s">
        <v>218</v>
      </c>
    </row>
    <row r="12" spans="1:14" x14ac:dyDescent="0.25">
      <c r="A12" s="1">
        <v>0</v>
      </c>
      <c r="B12" s="1">
        <v>0.5</v>
      </c>
      <c r="C12" s="1">
        <v>0.5</v>
      </c>
      <c r="D12" s="1">
        <v>0.5</v>
      </c>
      <c r="F12" s="1">
        <v>1</v>
      </c>
      <c r="G12" s="1">
        <v>0</v>
      </c>
      <c r="H12" s="1">
        <v>0</v>
      </c>
      <c r="I12" s="1">
        <v>0</v>
      </c>
      <c r="K12" s="1">
        <v>1</v>
      </c>
      <c r="L12" s="1">
        <v>0</v>
      </c>
      <c r="M12" s="1">
        <v>0</v>
      </c>
      <c r="N12" s="1">
        <v>0</v>
      </c>
    </row>
    <row r="13" spans="1:14" x14ac:dyDescent="0.25">
      <c r="A13" s="1">
        <v>0.5</v>
      </c>
      <c r="B13" s="1">
        <v>0</v>
      </c>
      <c r="C13" s="1">
        <v>0.5</v>
      </c>
      <c r="D13" s="1">
        <v>0.5</v>
      </c>
      <c r="E13" s="1" t="s">
        <v>136</v>
      </c>
      <c r="F13" s="1">
        <v>0</v>
      </c>
      <c r="G13" s="1">
        <v>1</v>
      </c>
      <c r="H13" s="1">
        <v>0</v>
      </c>
      <c r="I13" s="1">
        <v>0</v>
      </c>
      <c r="J13" s="1" t="s">
        <v>217</v>
      </c>
      <c r="K13" s="1">
        <v>0</v>
      </c>
      <c r="L13" s="1">
        <v>1</v>
      </c>
      <c r="M13" s="1">
        <v>0</v>
      </c>
      <c r="N13" s="1">
        <v>0</v>
      </c>
    </row>
    <row r="14" spans="1:14" x14ac:dyDescent="0.25">
      <c r="A14" s="1">
        <v>0.5</v>
      </c>
      <c r="B14" s="1">
        <v>0.5</v>
      </c>
      <c r="C14" s="1">
        <v>0</v>
      </c>
      <c r="D14" s="1">
        <v>0.5</v>
      </c>
      <c r="F14" s="1">
        <v>0</v>
      </c>
      <c r="G14" s="1">
        <v>0</v>
      </c>
      <c r="H14" s="1">
        <v>1</v>
      </c>
      <c r="I14" s="1">
        <v>0</v>
      </c>
      <c r="K14" s="1">
        <v>0</v>
      </c>
      <c r="L14" s="1">
        <v>0</v>
      </c>
      <c r="M14" s="1">
        <v>1</v>
      </c>
      <c r="N14" s="1">
        <v>0</v>
      </c>
    </row>
    <row r="15" spans="1:14" x14ac:dyDescent="0.25">
      <c r="A15" s="1">
        <v>0.5</v>
      </c>
      <c r="B15" s="1">
        <v>0.5</v>
      </c>
      <c r="C15" s="1">
        <v>0.5</v>
      </c>
      <c r="D15" s="1">
        <v>0</v>
      </c>
      <c r="F15" s="1">
        <v>0</v>
      </c>
      <c r="G15" s="1">
        <v>0</v>
      </c>
      <c r="H15" s="1">
        <v>0</v>
      </c>
      <c r="I15" s="1">
        <v>1</v>
      </c>
      <c r="K15" s="1">
        <v>0</v>
      </c>
      <c r="L15" s="1">
        <v>0</v>
      </c>
      <c r="M15" s="1">
        <v>0</v>
      </c>
      <c r="N15" s="1">
        <v>1</v>
      </c>
    </row>
    <row r="17" spans="1:14" x14ac:dyDescent="0.25">
      <c r="B17" s="58" t="s">
        <v>219</v>
      </c>
      <c r="C17" s="58"/>
      <c r="D17" s="58"/>
      <c r="E17" s="58"/>
      <c r="F17" s="58"/>
      <c r="G17" s="58"/>
      <c r="H17" s="58"/>
    </row>
    <row r="18" spans="1:14" x14ac:dyDescent="0.25">
      <c r="A18" s="1">
        <f>A12+A13</f>
        <v>0.5</v>
      </c>
      <c r="B18" s="1">
        <f t="shared" ref="B18:D18" si="0">B12+B13</f>
        <v>0.5</v>
      </c>
      <c r="C18" s="1">
        <f t="shared" si="0"/>
        <v>1</v>
      </c>
      <c r="D18" s="1">
        <f t="shared" si="0"/>
        <v>1</v>
      </c>
      <c r="F18" s="1">
        <v>1</v>
      </c>
      <c r="G18" s="1">
        <v>0</v>
      </c>
      <c r="H18" s="1">
        <v>0</v>
      </c>
      <c r="I18" s="1">
        <v>0</v>
      </c>
      <c r="K18" s="1">
        <f>K12+K13</f>
        <v>1</v>
      </c>
      <c r="L18" s="1">
        <f t="shared" ref="L18:N18" si="1">L12+L13</f>
        <v>1</v>
      </c>
      <c r="M18" s="1">
        <f t="shared" si="1"/>
        <v>0</v>
      </c>
      <c r="N18" s="1">
        <f t="shared" si="1"/>
        <v>0</v>
      </c>
    </row>
    <row r="19" spans="1:14" x14ac:dyDescent="0.25">
      <c r="A19" s="1">
        <v>0.5</v>
      </c>
      <c r="B19" s="1">
        <v>0</v>
      </c>
      <c r="C19" s="1">
        <v>0.5</v>
      </c>
      <c r="D19" s="1">
        <v>0.5</v>
      </c>
      <c r="E19" s="1" t="s">
        <v>136</v>
      </c>
      <c r="F19" s="1">
        <v>0</v>
      </c>
      <c r="G19" s="1">
        <v>1</v>
      </c>
      <c r="H19" s="1">
        <v>0</v>
      </c>
      <c r="I19" s="1">
        <v>0</v>
      </c>
      <c r="J19" s="1" t="s">
        <v>217</v>
      </c>
      <c r="K19" s="1">
        <v>0</v>
      </c>
      <c r="L19" s="1">
        <v>1</v>
      </c>
      <c r="M19" s="1">
        <v>0</v>
      </c>
      <c r="N19" s="1">
        <v>0</v>
      </c>
    </row>
    <row r="20" spans="1:14" x14ac:dyDescent="0.25">
      <c r="A20" s="1">
        <v>0.5</v>
      </c>
      <c r="B20" s="1">
        <v>0.5</v>
      </c>
      <c r="C20" s="1">
        <v>0</v>
      </c>
      <c r="D20" s="1">
        <v>0.5</v>
      </c>
      <c r="F20" s="1">
        <v>0</v>
      </c>
      <c r="G20" s="1">
        <v>0</v>
      </c>
      <c r="H20" s="1">
        <v>1</v>
      </c>
      <c r="I20" s="1">
        <v>0</v>
      </c>
      <c r="K20" s="1">
        <v>0</v>
      </c>
      <c r="L20" s="1">
        <v>0</v>
      </c>
      <c r="M20" s="1">
        <v>1</v>
      </c>
      <c r="N20" s="1">
        <v>0</v>
      </c>
    </row>
    <row r="21" spans="1:14" x14ac:dyDescent="0.25">
      <c r="A21" s="1">
        <v>0.5</v>
      </c>
      <c r="B21" s="1">
        <v>0.5</v>
      </c>
      <c r="C21" s="1">
        <v>0.5</v>
      </c>
      <c r="D21" s="1">
        <v>0</v>
      </c>
      <c r="F21" s="1">
        <v>0</v>
      </c>
      <c r="G21" s="1">
        <v>0</v>
      </c>
      <c r="H21" s="1">
        <v>0</v>
      </c>
      <c r="I21" s="1">
        <v>1</v>
      </c>
      <c r="K21" s="1">
        <v>0</v>
      </c>
      <c r="L21" s="1">
        <v>0</v>
      </c>
      <c r="M21" s="1">
        <v>0</v>
      </c>
      <c r="N21" s="1">
        <v>1</v>
      </c>
    </row>
    <row r="23" spans="1:14" x14ac:dyDescent="0.25">
      <c r="B23" s="58" t="s">
        <v>220</v>
      </c>
      <c r="C23" s="58"/>
      <c r="D23" s="58"/>
      <c r="E23" s="58"/>
      <c r="F23" s="58"/>
      <c r="G23" s="58"/>
      <c r="H23" s="58"/>
    </row>
    <row r="24" spans="1:14" x14ac:dyDescent="0.25">
      <c r="A24" s="1">
        <f>A18+B18</f>
        <v>1</v>
      </c>
      <c r="B24" s="1">
        <v>0.5</v>
      </c>
      <c r="C24" s="1">
        <v>1</v>
      </c>
      <c r="D24" s="1">
        <v>1</v>
      </c>
      <c r="F24" s="1">
        <f>F18+G18</f>
        <v>1</v>
      </c>
      <c r="G24" s="1">
        <v>0</v>
      </c>
      <c r="H24" s="1">
        <v>0</v>
      </c>
      <c r="I24" s="1">
        <v>0</v>
      </c>
      <c r="K24" s="1">
        <v>1</v>
      </c>
      <c r="L24" s="1">
        <v>1</v>
      </c>
      <c r="M24" s="1">
        <v>0</v>
      </c>
      <c r="N24" s="1">
        <v>0</v>
      </c>
    </row>
    <row r="25" spans="1:14" x14ac:dyDescent="0.25">
      <c r="A25" s="1">
        <f t="shared" ref="A25:A27" si="2">A19+B19</f>
        <v>0.5</v>
      </c>
      <c r="B25" s="1">
        <v>0</v>
      </c>
      <c r="C25" s="1">
        <v>0.5</v>
      </c>
      <c r="D25" s="1">
        <v>0.5</v>
      </c>
      <c r="E25" s="1" t="s">
        <v>136</v>
      </c>
      <c r="F25" s="1">
        <f t="shared" ref="F25:F27" si="3">F19+G19</f>
        <v>1</v>
      </c>
      <c r="G25" s="1">
        <v>1</v>
      </c>
      <c r="H25" s="1">
        <v>0</v>
      </c>
      <c r="I25" s="1">
        <v>0</v>
      </c>
      <c r="J25" s="1" t="s">
        <v>217</v>
      </c>
      <c r="K25" s="1">
        <v>0</v>
      </c>
      <c r="L25" s="1">
        <v>1</v>
      </c>
      <c r="M25" s="1">
        <v>0</v>
      </c>
      <c r="N25" s="1">
        <v>0</v>
      </c>
    </row>
    <row r="26" spans="1:14" x14ac:dyDescent="0.25">
      <c r="A26" s="1">
        <f t="shared" si="2"/>
        <v>1</v>
      </c>
      <c r="B26" s="1">
        <v>0.5</v>
      </c>
      <c r="C26" s="1">
        <v>0</v>
      </c>
      <c r="D26" s="1">
        <v>0.5</v>
      </c>
      <c r="F26" s="1">
        <f t="shared" si="3"/>
        <v>0</v>
      </c>
      <c r="G26" s="1">
        <v>0</v>
      </c>
      <c r="H26" s="1">
        <v>1</v>
      </c>
      <c r="I26" s="1">
        <v>0</v>
      </c>
      <c r="K26" s="1">
        <v>0</v>
      </c>
      <c r="L26" s="1">
        <v>0</v>
      </c>
      <c r="M26" s="1">
        <v>1</v>
      </c>
      <c r="N26" s="1">
        <v>0</v>
      </c>
    </row>
    <row r="27" spans="1:14" x14ac:dyDescent="0.25">
      <c r="A27" s="1">
        <f t="shared" si="2"/>
        <v>1</v>
      </c>
      <c r="B27" s="1">
        <v>0.5</v>
      </c>
      <c r="C27" s="1">
        <v>0.5</v>
      </c>
      <c r="D27" s="1">
        <v>0</v>
      </c>
      <c r="F27" s="1">
        <f t="shared" si="3"/>
        <v>0</v>
      </c>
      <c r="G27" s="1">
        <v>0</v>
      </c>
      <c r="H27" s="1">
        <v>0</v>
      </c>
      <c r="I27" s="1">
        <v>1</v>
      </c>
      <c r="K27" s="1">
        <v>0</v>
      </c>
      <c r="L27" s="1">
        <v>0</v>
      </c>
      <c r="M27" s="1">
        <v>0</v>
      </c>
      <c r="N27" s="1">
        <v>1</v>
      </c>
    </row>
    <row r="29" spans="1:14" x14ac:dyDescent="0.25">
      <c r="B29" s="58" t="s">
        <v>221</v>
      </c>
      <c r="C29" s="58"/>
      <c r="D29" s="58"/>
      <c r="E29" s="58"/>
      <c r="F29" s="58"/>
      <c r="G29" s="58"/>
      <c r="H29" s="58"/>
    </row>
    <row r="30" spans="1:14" x14ac:dyDescent="0.25">
      <c r="A30" s="1">
        <v>1</v>
      </c>
      <c r="B30" s="1">
        <v>0.5</v>
      </c>
      <c r="C30" s="1">
        <v>1</v>
      </c>
      <c r="D30" s="1">
        <v>1</v>
      </c>
      <c r="F30" s="1">
        <v>1</v>
      </c>
      <c r="G30" s="1">
        <v>0</v>
      </c>
      <c r="H30" s="1">
        <v>0</v>
      </c>
      <c r="I30" s="1">
        <v>0</v>
      </c>
      <c r="K30" s="1">
        <v>1</v>
      </c>
      <c r="L30" s="1">
        <v>1</v>
      </c>
      <c r="M30" s="1">
        <v>0</v>
      </c>
      <c r="N30" s="1">
        <v>0</v>
      </c>
    </row>
    <row r="31" spans="1:14" x14ac:dyDescent="0.25">
      <c r="A31" s="1">
        <f>A25-0.5*A24</f>
        <v>0</v>
      </c>
      <c r="B31" s="1">
        <f t="shared" ref="B31:D31" si="4">B25-0.5*B24</f>
        <v>-0.25</v>
      </c>
      <c r="C31" s="1">
        <f t="shared" si="4"/>
        <v>0</v>
      </c>
      <c r="D31" s="1">
        <f t="shared" si="4"/>
        <v>0</v>
      </c>
      <c r="E31" s="1" t="s">
        <v>136</v>
      </c>
      <c r="F31" s="1">
        <v>1</v>
      </c>
      <c r="G31" s="1">
        <v>1</v>
      </c>
      <c r="H31" s="1">
        <v>0</v>
      </c>
      <c r="I31" s="1">
        <v>0</v>
      </c>
      <c r="J31" s="1" t="s">
        <v>217</v>
      </c>
      <c r="K31" s="1">
        <f>K25-0.5*K24</f>
        <v>-0.5</v>
      </c>
      <c r="L31" s="1">
        <f t="shared" ref="L31:N31" si="5">L25-0.5*L24</f>
        <v>0.5</v>
      </c>
      <c r="M31" s="1">
        <f t="shared" si="5"/>
        <v>0</v>
      </c>
      <c r="N31" s="1">
        <f t="shared" si="5"/>
        <v>0</v>
      </c>
    </row>
    <row r="32" spans="1:14" x14ac:dyDescent="0.25">
      <c r="A32" s="1">
        <f>A26-A24</f>
        <v>0</v>
      </c>
      <c r="B32" s="1">
        <f t="shared" ref="B32:D32" si="6">B26-B24</f>
        <v>0</v>
      </c>
      <c r="C32" s="1">
        <f t="shared" si="6"/>
        <v>-1</v>
      </c>
      <c r="D32" s="1">
        <f t="shared" si="6"/>
        <v>-0.5</v>
      </c>
      <c r="F32" s="1">
        <v>0</v>
      </c>
      <c r="G32" s="1">
        <v>0</v>
      </c>
      <c r="H32" s="1">
        <v>1</v>
      </c>
      <c r="I32" s="1">
        <v>0</v>
      </c>
      <c r="K32" s="1">
        <f>K26-K24</f>
        <v>-1</v>
      </c>
      <c r="L32" s="1">
        <f t="shared" ref="L32:N32" si="7">L26-L24</f>
        <v>-1</v>
      </c>
      <c r="M32" s="1">
        <f t="shared" si="7"/>
        <v>1</v>
      </c>
      <c r="N32" s="1">
        <f t="shared" si="7"/>
        <v>0</v>
      </c>
    </row>
    <row r="33" spans="1:14" x14ac:dyDescent="0.25">
      <c r="A33" s="1">
        <f>A27-A24</f>
        <v>0</v>
      </c>
      <c r="B33" s="1">
        <f t="shared" ref="B33:D33" si="8">B27-B24</f>
        <v>0</v>
      </c>
      <c r="C33" s="1">
        <f t="shared" si="8"/>
        <v>-0.5</v>
      </c>
      <c r="D33" s="1">
        <f t="shared" si="8"/>
        <v>-1</v>
      </c>
      <c r="F33" s="1">
        <v>0</v>
      </c>
      <c r="G33" s="1">
        <v>0</v>
      </c>
      <c r="H33" s="1">
        <v>0</v>
      </c>
      <c r="I33" s="1">
        <v>1</v>
      </c>
      <c r="K33" s="1">
        <f>K27-K24</f>
        <v>-1</v>
      </c>
      <c r="L33" s="1">
        <f t="shared" ref="L33:N33" si="9">L27-L24</f>
        <v>-1</v>
      </c>
      <c r="M33" s="1">
        <f t="shared" si="9"/>
        <v>0</v>
      </c>
      <c r="N33" s="1">
        <f t="shared" si="9"/>
        <v>1</v>
      </c>
    </row>
    <row r="35" spans="1:14" x14ac:dyDescent="0.25">
      <c r="B35" s="58" t="s">
        <v>222</v>
      </c>
      <c r="C35" s="58"/>
      <c r="D35" s="58"/>
      <c r="E35" s="58"/>
      <c r="F35" s="58"/>
      <c r="G35" s="58"/>
      <c r="H35" s="58"/>
    </row>
    <row r="36" spans="1:14" x14ac:dyDescent="0.25">
      <c r="A36" s="1">
        <v>1</v>
      </c>
      <c r="B36" s="1">
        <f>B30-0.5*A30</f>
        <v>0</v>
      </c>
      <c r="C36" s="1">
        <f>C30-A30</f>
        <v>0</v>
      </c>
      <c r="D36" s="1">
        <f>D30-A30</f>
        <v>0</v>
      </c>
      <c r="F36" s="1">
        <v>1</v>
      </c>
      <c r="G36" s="1">
        <f>G30-0.5*F30</f>
        <v>-0.5</v>
      </c>
      <c r="H36" s="1">
        <f>H30-F30</f>
        <v>-1</v>
      </c>
      <c r="I36" s="1">
        <f>I30-F30</f>
        <v>-1</v>
      </c>
      <c r="K36" s="1">
        <v>1</v>
      </c>
      <c r="L36" s="1">
        <v>1</v>
      </c>
      <c r="M36" s="1">
        <v>0</v>
      </c>
      <c r="N36" s="1">
        <v>0</v>
      </c>
    </row>
    <row r="37" spans="1:14" x14ac:dyDescent="0.25">
      <c r="A37" s="1">
        <v>0</v>
      </c>
      <c r="B37" s="1">
        <f t="shared" ref="B37:B39" si="10">B31-0.5*A31</f>
        <v>-0.25</v>
      </c>
      <c r="C37" s="1">
        <f t="shared" ref="C37:C39" si="11">C31-A31</f>
        <v>0</v>
      </c>
      <c r="D37" s="1">
        <f t="shared" ref="D37:D39" si="12">D31-A31</f>
        <v>0</v>
      </c>
      <c r="E37" s="1" t="s">
        <v>136</v>
      </c>
      <c r="F37" s="1">
        <v>1</v>
      </c>
      <c r="G37" s="1">
        <f t="shared" ref="G37:G39" si="13">G31-0.5*F31</f>
        <v>0.5</v>
      </c>
      <c r="H37" s="1">
        <f t="shared" ref="H37:H39" si="14">H31-F31</f>
        <v>-1</v>
      </c>
      <c r="I37" s="1">
        <f t="shared" ref="I37:I39" si="15">I31-F31</f>
        <v>-1</v>
      </c>
      <c r="J37" s="1" t="s">
        <v>217</v>
      </c>
      <c r="K37" s="1">
        <v>-0.5</v>
      </c>
      <c r="L37" s="1">
        <v>0.5</v>
      </c>
      <c r="M37" s="1">
        <v>0</v>
      </c>
      <c r="N37" s="1">
        <v>0</v>
      </c>
    </row>
    <row r="38" spans="1:14" x14ac:dyDescent="0.25">
      <c r="A38" s="1">
        <v>0</v>
      </c>
      <c r="B38" s="1">
        <f t="shared" si="10"/>
        <v>0</v>
      </c>
      <c r="C38" s="1">
        <f t="shared" si="11"/>
        <v>-1</v>
      </c>
      <c r="D38" s="1">
        <f t="shared" si="12"/>
        <v>-0.5</v>
      </c>
      <c r="F38" s="1">
        <v>0</v>
      </c>
      <c r="G38" s="1">
        <f t="shared" si="13"/>
        <v>0</v>
      </c>
      <c r="H38" s="1">
        <f t="shared" si="14"/>
        <v>1</v>
      </c>
      <c r="I38" s="1">
        <f t="shared" si="15"/>
        <v>0</v>
      </c>
      <c r="K38" s="1">
        <v>-1</v>
      </c>
      <c r="L38" s="1">
        <v>-1</v>
      </c>
      <c r="M38" s="1">
        <v>1</v>
      </c>
      <c r="N38" s="1">
        <v>0</v>
      </c>
    </row>
    <row r="39" spans="1:14" x14ac:dyDescent="0.25">
      <c r="A39" s="1">
        <v>0</v>
      </c>
      <c r="B39" s="1">
        <f t="shared" si="10"/>
        <v>0</v>
      </c>
      <c r="C39" s="1">
        <f t="shared" si="11"/>
        <v>-0.5</v>
      </c>
      <c r="D39" s="1">
        <f t="shared" si="12"/>
        <v>-1</v>
      </c>
      <c r="F39" s="1">
        <v>0</v>
      </c>
      <c r="G39" s="1">
        <f t="shared" si="13"/>
        <v>0</v>
      </c>
      <c r="H39" s="1">
        <f t="shared" si="14"/>
        <v>0</v>
      </c>
      <c r="I39" s="1">
        <f t="shared" si="15"/>
        <v>1</v>
      </c>
      <c r="K39" s="1">
        <v>-1</v>
      </c>
      <c r="L39" s="1">
        <v>-1</v>
      </c>
      <c r="M39" s="1">
        <v>0</v>
      </c>
      <c r="N39" s="1">
        <v>1</v>
      </c>
    </row>
    <row r="41" spans="1:14" x14ac:dyDescent="0.25">
      <c r="B41" s="58" t="s">
        <v>223</v>
      </c>
      <c r="C41" s="58"/>
      <c r="D41" s="58"/>
      <c r="E41" s="58"/>
      <c r="F41" s="58"/>
      <c r="G41" s="58"/>
      <c r="H41" s="58"/>
    </row>
    <row r="42" spans="1:14" x14ac:dyDescent="0.25">
      <c r="A42" s="1">
        <v>1</v>
      </c>
      <c r="B42" s="1">
        <v>0</v>
      </c>
      <c r="C42" s="1">
        <v>0</v>
      </c>
      <c r="D42" s="1">
        <v>0</v>
      </c>
      <c r="F42" s="1">
        <v>1</v>
      </c>
      <c r="G42" s="1">
        <v>-0.5</v>
      </c>
      <c r="H42" s="1">
        <v>-1</v>
      </c>
      <c r="I42" s="1">
        <v>-1</v>
      </c>
      <c r="K42" s="1">
        <v>1</v>
      </c>
      <c r="L42" s="1">
        <v>1</v>
      </c>
      <c r="M42" s="1">
        <v>0</v>
      </c>
      <c r="N42" s="1">
        <v>0</v>
      </c>
    </row>
    <row r="43" spans="1:14" x14ac:dyDescent="0.25">
      <c r="A43" s="1">
        <v>0</v>
      </c>
      <c r="B43" s="1">
        <v>-0.25</v>
      </c>
      <c r="C43" s="1">
        <v>0</v>
      </c>
      <c r="D43" s="1">
        <v>0</v>
      </c>
      <c r="E43" s="1" t="s">
        <v>136</v>
      </c>
      <c r="F43" s="1">
        <v>1</v>
      </c>
      <c r="G43" s="1">
        <v>0.5</v>
      </c>
      <c r="H43" s="1">
        <v>-1</v>
      </c>
      <c r="I43" s="1">
        <v>-1</v>
      </c>
      <c r="J43" s="1" t="s">
        <v>217</v>
      </c>
      <c r="K43" s="1">
        <v>-0.5</v>
      </c>
      <c r="L43" s="1">
        <v>0.5</v>
      </c>
      <c r="M43" s="1">
        <v>0</v>
      </c>
      <c r="N43" s="1">
        <v>0</v>
      </c>
    </row>
    <row r="44" spans="1:14" x14ac:dyDescent="0.25">
      <c r="A44" s="1">
        <v>0</v>
      </c>
      <c r="B44" s="1">
        <v>0</v>
      </c>
      <c r="C44" s="1">
        <v>-1</v>
      </c>
      <c r="D44" s="1">
        <v>-0.5</v>
      </c>
      <c r="F44" s="1">
        <v>0</v>
      </c>
      <c r="G44" s="1">
        <v>0</v>
      </c>
      <c r="H44" s="1">
        <v>1</v>
      </c>
      <c r="I44" s="1">
        <v>0</v>
      </c>
      <c r="K44" s="1">
        <v>-1</v>
      </c>
      <c r="L44" s="1">
        <v>-1</v>
      </c>
      <c r="M44" s="1">
        <v>1</v>
      </c>
      <c r="N44" s="1">
        <v>0</v>
      </c>
    </row>
    <row r="45" spans="1:14" x14ac:dyDescent="0.25">
      <c r="A45" s="1">
        <f>A39-0.5*A38</f>
        <v>0</v>
      </c>
      <c r="B45" s="1">
        <f t="shared" ref="B45:D45" si="16">B39-0.5*B38</f>
        <v>0</v>
      </c>
      <c r="C45" s="1">
        <f t="shared" si="16"/>
        <v>0</v>
      </c>
      <c r="D45" s="1">
        <f t="shared" si="16"/>
        <v>-0.75</v>
      </c>
      <c r="F45" s="1">
        <v>0</v>
      </c>
      <c r="G45" s="1">
        <v>0</v>
      </c>
      <c r="H45" s="1">
        <v>0</v>
      </c>
      <c r="I45" s="1">
        <v>1</v>
      </c>
      <c r="K45" s="1">
        <f>K39-0.5*K38</f>
        <v>-0.5</v>
      </c>
      <c r="L45" s="1">
        <f t="shared" ref="L45:N45" si="17">L39-0.5*L38</f>
        <v>-0.5</v>
      </c>
      <c r="M45" s="1">
        <f t="shared" si="17"/>
        <v>-0.5</v>
      </c>
      <c r="N45" s="1">
        <f t="shared" si="17"/>
        <v>1</v>
      </c>
    </row>
    <row r="47" spans="1:14" x14ac:dyDescent="0.25">
      <c r="B47" s="58" t="s">
        <v>224</v>
      </c>
      <c r="C47" s="58"/>
      <c r="D47" s="58"/>
      <c r="E47" s="58"/>
      <c r="F47" s="58"/>
      <c r="G47" s="58"/>
      <c r="H47" s="58"/>
    </row>
    <row r="48" spans="1:14" x14ac:dyDescent="0.25">
      <c r="A48" s="1">
        <v>1</v>
      </c>
      <c r="B48" s="1">
        <v>0</v>
      </c>
      <c r="C48" s="1">
        <v>0</v>
      </c>
      <c r="D48" s="1">
        <f>D42-0.5*C48</f>
        <v>0</v>
      </c>
      <c r="F48" s="1">
        <v>1</v>
      </c>
      <c r="G48" s="1">
        <v>-0.5</v>
      </c>
      <c r="H48" s="1">
        <v>-1</v>
      </c>
      <c r="I48" s="1">
        <f>I42-0.5*H48</f>
        <v>-0.5</v>
      </c>
      <c r="K48" s="1">
        <v>1</v>
      </c>
      <c r="L48" s="1">
        <v>1</v>
      </c>
      <c r="M48" s="1">
        <v>0</v>
      </c>
      <c r="N48" s="1">
        <v>0</v>
      </c>
    </row>
    <row r="49" spans="1:14" x14ac:dyDescent="0.25">
      <c r="A49" s="1">
        <v>0</v>
      </c>
      <c r="B49" s="1">
        <v>-0.25</v>
      </c>
      <c r="C49" s="1">
        <v>0</v>
      </c>
      <c r="D49" s="1">
        <f t="shared" ref="D49:D51" si="18">D43-0.5*C49</f>
        <v>0</v>
      </c>
      <c r="E49" s="1" t="s">
        <v>136</v>
      </c>
      <c r="F49" s="1">
        <v>1</v>
      </c>
      <c r="G49" s="1">
        <v>0.5</v>
      </c>
      <c r="H49" s="1">
        <v>-1</v>
      </c>
      <c r="I49" s="1">
        <f t="shared" ref="I49:I51" si="19">I43-0.5*H49</f>
        <v>-0.5</v>
      </c>
      <c r="J49" s="1" t="s">
        <v>217</v>
      </c>
      <c r="K49" s="1">
        <v>-0.5</v>
      </c>
      <c r="L49" s="1">
        <v>0.5</v>
      </c>
      <c r="M49" s="1">
        <v>0</v>
      </c>
      <c r="N49" s="1">
        <v>0</v>
      </c>
    </row>
    <row r="50" spans="1:14" x14ac:dyDescent="0.25">
      <c r="A50" s="1">
        <v>0</v>
      </c>
      <c r="B50" s="1">
        <v>0</v>
      </c>
      <c r="C50" s="1">
        <v>-1</v>
      </c>
      <c r="D50" s="1">
        <f t="shared" si="18"/>
        <v>0</v>
      </c>
      <c r="F50" s="1">
        <v>0</v>
      </c>
      <c r="G50" s="1">
        <v>0</v>
      </c>
      <c r="H50" s="1">
        <v>1</v>
      </c>
      <c r="I50" s="1">
        <f t="shared" si="19"/>
        <v>-0.5</v>
      </c>
      <c r="K50" s="1">
        <v>-1</v>
      </c>
      <c r="L50" s="1">
        <v>-1</v>
      </c>
      <c r="M50" s="1">
        <v>1</v>
      </c>
      <c r="N50" s="1">
        <v>0</v>
      </c>
    </row>
    <row r="51" spans="1:14" x14ac:dyDescent="0.25">
      <c r="A51" s="1">
        <v>0</v>
      </c>
      <c r="B51" s="1">
        <v>0</v>
      </c>
      <c r="C51" s="1">
        <v>0</v>
      </c>
      <c r="D51" s="1">
        <f t="shared" si="18"/>
        <v>-0.75</v>
      </c>
      <c r="F51" s="1">
        <v>0</v>
      </c>
      <c r="G51" s="1">
        <v>0</v>
      </c>
      <c r="H51" s="1">
        <v>0</v>
      </c>
      <c r="I51" s="1">
        <f t="shared" si="19"/>
        <v>1</v>
      </c>
      <c r="K51" s="1">
        <v>-0.5</v>
      </c>
      <c r="L51" s="1">
        <v>-0.5</v>
      </c>
      <c r="M51" s="1">
        <v>-0.5</v>
      </c>
      <c r="N51" s="1">
        <v>1</v>
      </c>
    </row>
    <row r="53" spans="1:14" ht="17.25" customHeight="1" x14ac:dyDescent="0.25">
      <c r="A53" s="58" t="s">
        <v>225</v>
      </c>
      <c r="B53" s="58"/>
      <c r="C53" s="58"/>
      <c r="D53" s="58"/>
      <c r="E53" s="60" t="s">
        <v>226</v>
      </c>
      <c r="F53" s="60"/>
      <c r="G53" s="60"/>
      <c r="H53" s="60"/>
    </row>
    <row r="55" spans="1:14" x14ac:dyDescent="0.25">
      <c r="A55" s="58" t="s">
        <v>227</v>
      </c>
      <c r="B55" s="58"/>
      <c r="C55" s="58"/>
      <c r="D55" s="58"/>
      <c r="E55" s="2">
        <v>4</v>
      </c>
    </row>
    <row r="56" spans="1:14" x14ac:dyDescent="0.25">
      <c r="A56" s="58" t="s">
        <v>228</v>
      </c>
      <c r="B56" s="58"/>
      <c r="C56" s="58"/>
      <c r="D56" s="58"/>
      <c r="E56" s="2">
        <v>1</v>
      </c>
    </row>
    <row r="57" spans="1:14" x14ac:dyDescent="0.25">
      <c r="A57" s="58" t="s">
        <v>229</v>
      </c>
      <c r="B57" s="58"/>
      <c r="C57" s="58"/>
      <c r="D57" s="58"/>
      <c r="E57" s="2">
        <v>-2</v>
      </c>
    </row>
  </sheetData>
  <mergeCells count="14">
    <mergeCell ref="A53:D53"/>
    <mergeCell ref="E53:H53"/>
    <mergeCell ref="A55:D55"/>
    <mergeCell ref="A56:D56"/>
    <mergeCell ref="A57:D57"/>
    <mergeCell ref="A1:H1"/>
    <mergeCell ref="B35:H35"/>
    <mergeCell ref="B41:H41"/>
    <mergeCell ref="B47:H47"/>
    <mergeCell ref="A3:B3"/>
    <mergeCell ref="C3:F3"/>
    <mergeCell ref="B17:H17"/>
    <mergeCell ref="B23:H23"/>
    <mergeCell ref="B29:H29"/>
  </mergeCells>
  <pageMargins left="0.7" right="0.7" top="0.75" bottom="0.75" header="0.3" footer="0.3"/>
  <pageSetup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A2" sqref="A2"/>
    </sheetView>
  </sheetViews>
  <sheetFormatPr defaultRowHeight="15" x14ac:dyDescent="0.25"/>
  <cols>
    <col min="1" max="11" width="7.28515625" style="1" customWidth="1"/>
    <col min="12" max="16384" width="9.140625" style="1"/>
  </cols>
  <sheetData>
    <row r="1" spans="1:11" ht="15.75" thickBot="1" x14ac:dyDescent="0.3">
      <c r="A1" s="50" t="s">
        <v>281</v>
      </c>
      <c r="B1" s="51"/>
      <c r="C1" s="51"/>
      <c r="D1" s="51"/>
      <c r="E1" s="51"/>
      <c r="F1" s="51"/>
      <c r="G1" s="55"/>
    </row>
    <row r="2" spans="1:11" ht="17.25" customHeight="1" x14ac:dyDescent="0.25">
      <c r="A2" s="2" t="s">
        <v>215</v>
      </c>
      <c r="B2" s="58" t="s">
        <v>241</v>
      </c>
      <c r="C2" s="58"/>
      <c r="D2" s="58"/>
      <c r="E2" s="58"/>
    </row>
    <row r="3" spans="1:11" x14ac:dyDescent="0.25">
      <c r="D3" s="1">
        <v>1</v>
      </c>
      <c r="E3" s="1">
        <v>-1</v>
      </c>
      <c r="F3" s="1">
        <v>0.5</v>
      </c>
    </row>
    <row r="4" spans="1:11" x14ac:dyDescent="0.25">
      <c r="C4" s="1" t="s">
        <v>90</v>
      </c>
      <c r="D4" s="1">
        <v>-1</v>
      </c>
      <c r="E4" s="1">
        <v>2</v>
      </c>
      <c r="F4" s="1">
        <v>-1</v>
      </c>
    </row>
    <row r="5" spans="1:11" x14ac:dyDescent="0.25">
      <c r="D5" s="1">
        <v>0.5</v>
      </c>
      <c r="E5" s="1">
        <v>-1</v>
      </c>
      <c r="F5" s="1">
        <v>2</v>
      </c>
    </row>
    <row r="6" spans="1:11" x14ac:dyDescent="0.25">
      <c r="A6" s="1" t="s">
        <v>217</v>
      </c>
      <c r="B6" s="27" t="s">
        <v>218</v>
      </c>
    </row>
    <row r="8" spans="1:11" x14ac:dyDescent="0.25">
      <c r="A8" s="1">
        <v>1</v>
      </c>
      <c r="B8" s="1">
        <v>-1</v>
      </c>
      <c r="C8" s="1">
        <v>0.5</v>
      </c>
      <c r="E8" s="1">
        <v>1</v>
      </c>
      <c r="F8" s="1">
        <v>0</v>
      </c>
      <c r="G8" s="1">
        <v>0</v>
      </c>
      <c r="I8" s="1">
        <v>1</v>
      </c>
      <c r="J8" s="1">
        <v>0</v>
      </c>
      <c r="K8" s="1">
        <v>0</v>
      </c>
    </row>
    <row r="9" spans="1:11" x14ac:dyDescent="0.25">
      <c r="A9" s="1">
        <v>-1</v>
      </c>
      <c r="B9" s="1">
        <v>2</v>
      </c>
      <c r="C9" s="1">
        <v>-1</v>
      </c>
      <c r="D9" s="1" t="s">
        <v>136</v>
      </c>
      <c r="E9" s="1">
        <v>0</v>
      </c>
      <c r="F9" s="1">
        <v>1</v>
      </c>
      <c r="G9" s="1">
        <v>0</v>
      </c>
      <c r="H9" s="1" t="s">
        <v>217</v>
      </c>
      <c r="I9" s="1">
        <v>0</v>
      </c>
      <c r="J9" s="1">
        <v>1</v>
      </c>
      <c r="K9" s="1">
        <v>0</v>
      </c>
    </row>
    <row r="10" spans="1:11" x14ac:dyDescent="0.25">
      <c r="A10" s="1">
        <v>0.5</v>
      </c>
      <c r="B10" s="1">
        <v>-1</v>
      </c>
      <c r="C10" s="1">
        <v>2</v>
      </c>
      <c r="E10" s="1">
        <v>0</v>
      </c>
      <c r="F10" s="1">
        <v>0</v>
      </c>
      <c r="G10" s="1">
        <v>1</v>
      </c>
      <c r="I10" s="1">
        <v>0</v>
      </c>
      <c r="J10" s="1">
        <v>0</v>
      </c>
      <c r="K10" s="1">
        <v>1</v>
      </c>
    </row>
    <row r="12" spans="1:11" x14ac:dyDescent="0.25">
      <c r="B12" s="58" t="s">
        <v>230</v>
      </c>
      <c r="C12" s="58"/>
      <c r="D12" s="58"/>
      <c r="E12" s="58"/>
      <c r="F12" s="58"/>
      <c r="G12" s="58"/>
      <c r="H12" s="58"/>
    </row>
    <row r="13" spans="1:11" x14ac:dyDescent="0.25">
      <c r="A13" s="1">
        <v>1</v>
      </c>
      <c r="B13" s="1">
        <v>-1</v>
      </c>
      <c r="C13" s="1">
        <v>0.5</v>
      </c>
      <c r="E13" s="1">
        <v>1</v>
      </c>
      <c r="F13" s="1">
        <v>0</v>
      </c>
      <c r="G13" s="1">
        <v>0</v>
      </c>
      <c r="I13" s="1">
        <v>1</v>
      </c>
      <c r="J13" s="1">
        <v>0</v>
      </c>
      <c r="K13" s="1">
        <v>0</v>
      </c>
    </row>
    <row r="14" spans="1:11" x14ac:dyDescent="0.25">
      <c r="A14" s="1">
        <f>A9+A8</f>
        <v>0</v>
      </c>
      <c r="B14" s="1">
        <f t="shared" ref="B14:C14" si="0">B9+B8</f>
        <v>1</v>
      </c>
      <c r="C14" s="1">
        <f t="shared" si="0"/>
        <v>-0.5</v>
      </c>
      <c r="D14" s="1" t="s">
        <v>136</v>
      </c>
      <c r="E14" s="1">
        <v>0</v>
      </c>
      <c r="F14" s="1">
        <v>1</v>
      </c>
      <c r="G14" s="1">
        <v>0</v>
      </c>
      <c r="H14" s="1" t="s">
        <v>217</v>
      </c>
      <c r="I14" s="1">
        <f>I9+I8</f>
        <v>1</v>
      </c>
      <c r="J14" s="1">
        <f t="shared" ref="J14:K14" si="1">J9+J8</f>
        <v>1</v>
      </c>
      <c r="K14" s="1">
        <f t="shared" si="1"/>
        <v>0</v>
      </c>
    </row>
    <row r="15" spans="1:11" x14ac:dyDescent="0.25">
      <c r="A15" s="1">
        <f>A10-0.5*A8</f>
        <v>0</v>
      </c>
      <c r="B15" s="1">
        <f t="shared" ref="B15:C15" si="2">B10-0.5*B8</f>
        <v>-0.5</v>
      </c>
      <c r="C15" s="1">
        <f t="shared" si="2"/>
        <v>1.75</v>
      </c>
      <c r="E15" s="1">
        <v>0</v>
      </c>
      <c r="F15" s="1">
        <v>0</v>
      </c>
      <c r="G15" s="1">
        <v>1</v>
      </c>
      <c r="I15" s="1">
        <f>I10-0.5*I8</f>
        <v>-0.5</v>
      </c>
      <c r="J15" s="1">
        <f t="shared" ref="J15:K15" si="3">J10-0.5*J8</f>
        <v>0</v>
      </c>
      <c r="K15" s="1">
        <f t="shared" si="3"/>
        <v>1</v>
      </c>
    </row>
    <row r="17" spans="1:11" x14ac:dyDescent="0.25">
      <c r="B17" s="58" t="s">
        <v>231</v>
      </c>
      <c r="C17" s="58"/>
      <c r="D17" s="58"/>
      <c r="E17" s="58"/>
      <c r="F17" s="58"/>
      <c r="G17" s="58"/>
      <c r="H17" s="58"/>
    </row>
    <row r="18" spans="1:11" x14ac:dyDescent="0.25">
      <c r="A18" s="1">
        <v>1</v>
      </c>
      <c r="B18" s="1">
        <f>B13+A13</f>
        <v>0</v>
      </c>
      <c r="C18" s="1">
        <f>C13-0.5*A13</f>
        <v>0</v>
      </c>
      <c r="E18" s="1">
        <v>1</v>
      </c>
      <c r="F18" s="1">
        <f>F13+E13</f>
        <v>1</v>
      </c>
      <c r="G18" s="1">
        <f>G13-0.5*E13</f>
        <v>-0.5</v>
      </c>
      <c r="I18" s="1">
        <v>1</v>
      </c>
      <c r="J18" s="1">
        <v>0</v>
      </c>
      <c r="K18" s="1">
        <v>0</v>
      </c>
    </row>
    <row r="19" spans="1:11" x14ac:dyDescent="0.25">
      <c r="A19" s="1">
        <v>0</v>
      </c>
      <c r="B19" s="1">
        <f t="shared" ref="B19:B20" si="4">B14+A14</f>
        <v>1</v>
      </c>
      <c r="C19" s="1">
        <f t="shared" ref="C19:C20" si="5">C14-0.5*A14</f>
        <v>-0.5</v>
      </c>
      <c r="D19" s="1" t="s">
        <v>136</v>
      </c>
      <c r="E19" s="1">
        <v>0</v>
      </c>
      <c r="F19" s="1">
        <f t="shared" ref="F19:F20" si="6">F14+E14</f>
        <v>1</v>
      </c>
      <c r="G19" s="1">
        <f t="shared" ref="G19:G20" si="7">G14-0.5*E14</f>
        <v>0</v>
      </c>
      <c r="H19" s="1" t="s">
        <v>217</v>
      </c>
      <c r="I19" s="1">
        <v>1</v>
      </c>
      <c r="J19" s="1">
        <v>1</v>
      </c>
      <c r="K19" s="1">
        <v>0</v>
      </c>
    </row>
    <row r="20" spans="1:11" x14ac:dyDescent="0.25">
      <c r="A20" s="1">
        <v>0</v>
      </c>
      <c r="B20" s="1">
        <f t="shared" si="4"/>
        <v>-0.5</v>
      </c>
      <c r="C20" s="1">
        <f t="shared" si="5"/>
        <v>1.75</v>
      </c>
      <c r="E20" s="1">
        <v>0</v>
      </c>
      <c r="F20" s="1">
        <f t="shared" si="6"/>
        <v>0</v>
      </c>
      <c r="G20" s="1">
        <f t="shared" si="7"/>
        <v>1</v>
      </c>
      <c r="I20" s="1">
        <v>-0.5</v>
      </c>
      <c r="J20" s="1">
        <v>0</v>
      </c>
      <c r="K20" s="1">
        <v>1</v>
      </c>
    </row>
    <row r="22" spans="1:11" x14ac:dyDescent="0.25">
      <c r="B22" s="58" t="s">
        <v>232</v>
      </c>
      <c r="C22" s="58"/>
      <c r="D22" s="58"/>
      <c r="E22" s="58"/>
      <c r="F22" s="58"/>
      <c r="G22" s="58"/>
      <c r="H22" s="58"/>
    </row>
    <row r="23" spans="1:11" x14ac:dyDescent="0.25">
      <c r="A23" s="1">
        <v>1</v>
      </c>
      <c r="B23" s="1">
        <v>0</v>
      </c>
      <c r="C23" s="1">
        <v>0</v>
      </c>
      <c r="E23" s="1">
        <v>1</v>
      </c>
      <c r="F23" s="1">
        <v>1</v>
      </c>
      <c r="G23" s="1">
        <v>-0.5</v>
      </c>
      <c r="I23" s="1">
        <v>1</v>
      </c>
      <c r="J23" s="1">
        <v>0</v>
      </c>
      <c r="K23" s="1">
        <v>0</v>
      </c>
    </row>
    <row r="24" spans="1:11" x14ac:dyDescent="0.25">
      <c r="A24" s="1">
        <v>0</v>
      </c>
      <c r="B24" s="1">
        <v>1</v>
      </c>
      <c r="C24" s="1">
        <v>-0.5</v>
      </c>
      <c r="D24" s="1" t="s">
        <v>136</v>
      </c>
      <c r="E24" s="1">
        <v>0</v>
      </c>
      <c r="F24" s="1">
        <v>1</v>
      </c>
      <c r="G24" s="1">
        <v>0</v>
      </c>
      <c r="H24" s="1" t="s">
        <v>217</v>
      </c>
      <c r="I24" s="1">
        <v>1</v>
      </c>
      <c r="J24" s="1">
        <v>1</v>
      </c>
      <c r="K24" s="1">
        <v>0</v>
      </c>
    </row>
    <row r="25" spans="1:11" x14ac:dyDescent="0.25">
      <c r="A25" s="1">
        <f>A20+0.5*A19</f>
        <v>0</v>
      </c>
      <c r="B25" s="1">
        <f t="shared" ref="B25:C25" si="8">B20+0.5*B19</f>
        <v>0</v>
      </c>
      <c r="C25" s="1">
        <f t="shared" si="8"/>
        <v>1.5</v>
      </c>
      <c r="E25" s="1">
        <v>0</v>
      </c>
      <c r="F25" s="1">
        <v>0</v>
      </c>
      <c r="G25" s="1">
        <v>1</v>
      </c>
      <c r="I25" s="1">
        <f>I20+0.5*I19</f>
        <v>0</v>
      </c>
      <c r="J25" s="1">
        <f t="shared" ref="J25:K25" si="9">J20+0.5*J19</f>
        <v>0.5</v>
      </c>
      <c r="K25" s="1">
        <f t="shared" si="9"/>
        <v>1</v>
      </c>
    </row>
    <row r="27" spans="1:11" x14ac:dyDescent="0.25">
      <c r="B27" s="58" t="s">
        <v>233</v>
      </c>
      <c r="C27" s="58"/>
      <c r="D27" s="58"/>
      <c r="E27" s="58"/>
      <c r="F27" s="58"/>
      <c r="G27" s="58"/>
      <c r="H27" s="58"/>
    </row>
    <row r="28" spans="1:11" x14ac:dyDescent="0.25">
      <c r="A28" s="1">
        <v>1</v>
      </c>
      <c r="B28" s="1">
        <v>0</v>
      </c>
      <c r="C28" s="1">
        <f>C23+0.5*B23</f>
        <v>0</v>
      </c>
      <c r="E28" s="1">
        <v>1</v>
      </c>
      <c r="F28" s="1">
        <v>1</v>
      </c>
      <c r="G28" s="1">
        <f>G23+0.5*F23</f>
        <v>0</v>
      </c>
      <c r="I28" s="1">
        <v>1</v>
      </c>
      <c r="J28" s="1">
        <v>0</v>
      </c>
      <c r="K28" s="1">
        <v>0</v>
      </c>
    </row>
    <row r="29" spans="1:11" x14ac:dyDescent="0.25">
      <c r="A29" s="1">
        <v>0</v>
      </c>
      <c r="B29" s="1">
        <v>1</v>
      </c>
      <c r="C29" s="1">
        <f t="shared" ref="C29:C30" si="10">C24+0.5*B24</f>
        <v>0</v>
      </c>
      <c r="D29" s="1" t="s">
        <v>136</v>
      </c>
      <c r="E29" s="1">
        <v>0</v>
      </c>
      <c r="F29" s="1">
        <v>1</v>
      </c>
      <c r="G29" s="1">
        <f t="shared" ref="G29:G30" si="11">G24+0.5*F24</f>
        <v>0.5</v>
      </c>
      <c r="H29" s="1" t="s">
        <v>217</v>
      </c>
      <c r="I29" s="1">
        <v>1</v>
      </c>
      <c r="J29" s="1">
        <v>1</v>
      </c>
      <c r="K29" s="1">
        <v>0</v>
      </c>
    </row>
    <row r="30" spans="1:11" x14ac:dyDescent="0.25">
      <c r="A30" s="1">
        <v>0</v>
      </c>
      <c r="B30" s="1">
        <v>0</v>
      </c>
      <c r="C30" s="1">
        <f t="shared" si="10"/>
        <v>1.5</v>
      </c>
      <c r="E30" s="1">
        <v>0</v>
      </c>
      <c r="F30" s="1">
        <v>0</v>
      </c>
      <c r="G30" s="1">
        <f t="shared" si="11"/>
        <v>1</v>
      </c>
      <c r="I30" s="1">
        <v>0</v>
      </c>
      <c r="J30" s="1">
        <v>0.5</v>
      </c>
      <c r="K30" s="1">
        <v>1</v>
      </c>
    </row>
    <row r="32" spans="1:11" x14ac:dyDescent="0.25">
      <c r="B32" s="58" t="s">
        <v>239</v>
      </c>
      <c r="C32" s="58"/>
      <c r="D32" s="58"/>
      <c r="E32" s="58"/>
      <c r="F32" s="58"/>
      <c r="G32" s="58"/>
      <c r="H32" s="58"/>
    </row>
    <row r="33" spans="1:11" x14ac:dyDescent="0.25">
      <c r="A33" s="1">
        <v>1</v>
      </c>
      <c r="B33" s="1">
        <v>0</v>
      </c>
      <c r="C33" s="1">
        <v>0</v>
      </c>
      <c r="E33" s="1">
        <v>1</v>
      </c>
      <c r="F33" s="1">
        <v>1</v>
      </c>
      <c r="G33" s="1">
        <v>0</v>
      </c>
      <c r="I33" s="1">
        <v>1</v>
      </c>
      <c r="J33" s="1">
        <v>0</v>
      </c>
      <c r="K33" s="1">
        <v>0</v>
      </c>
    </row>
    <row r="34" spans="1:11" x14ac:dyDescent="0.25">
      <c r="A34" s="1">
        <v>0</v>
      </c>
      <c r="B34" s="1">
        <v>1</v>
      </c>
      <c r="C34" s="1">
        <v>0</v>
      </c>
      <c r="D34" s="1" t="s">
        <v>136</v>
      </c>
      <c r="E34" s="1">
        <v>0</v>
      </c>
      <c r="F34" s="1">
        <v>1</v>
      </c>
      <c r="G34" s="1">
        <v>0.5</v>
      </c>
      <c r="H34" s="1" t="s">
        <v>217</v>
      </c>
      <c r="I34" s="1">
        <v>1</v>
      </c>
      <c r="J34" s="1">
        <v>1</v>
      </c>
      <c r="K34" s="1">
        <v>0</v>
      </c>
    </row>
    <row r="35" spans="1:11" x14ac:dyDescent="0.25">
      <c r="A35" s="1">
        <f>A30/SQRT(1.5)</f>
        <v>0</v>
      </c>
      <c r="B35" s="1">
        <f t="shared" ref="B35" si="12">B30/SQRT(1.5)</f>
        <v>0</v>
      </c>
      <c r="C35" s="1">
        <f>ROUND(C30/SQRT(1.5),3)</f>
        <v>1.2250000000000001</v>
      </c>
      <c r="E35" s="1">
        <v>0</v>
      </c>
      <c r="F35" s="1">
        <v>0</v>
      </c>
      <c r="G35" s="1">
        <v>1</v>
      </c>
      <c r="I35" s="1">
        <f>I30/SQRT(1.5)</f>
        <v>0</v>
      </c>
      <c r="J35" s="1">
        <f>ROUND(J30/SQRT(1.5),3)</f>
        <v>0.40799999999999997</v>
      </c>
      <c r="K35" s="1">
        <f>ROUND(K30/SQRT(1.5),3)</f>
        <v>0.81599999999999995</v>
      </c>
    </row>
    <row r="37" spans="1:11" x14ac:dyDescent="0.25">
      <c r="B37" s="58" t="s">
        <v>240</v>
      </c>
      <c r="C37" s="58"/>
      <c r="D37" s="58"/>
      <c r="E37" s="58"/>
      <c r="F37" s="58"/>
      <c r="G37" s="58"/>
      <c r="H37" s="58"/>
    </row>
    <row r="38" spans="1:11" x14ac:dyDescent="0.25">
      <c r="A38" s="1">
        <v>1</v>
      </c>
      <c r="B38" s="1">
        <v>0</v>
      </c>
      <c r="C38" s="1">
        <f t="shared" ref="C38:C39" si="13">ROUND(C33/SQRT(1.5),3)</f>
        <v>0</v>
      </c>
      <c r="E38" s="1">
        <v>1</v>
      </c>
      <c r="F38" s="1">
        <v>1</v>
      </c>
      <c r="G38" s="1">
        <f>ROUND(G33/SQRT(1.5),3)</f>
        <v>0</v>
      </c>
      <c r="I38" s="1">
        <v>1</v>
      </c>
      <c r="J38" s="1">
        <v>0</v>
      </c>
      <c r="K38" s="1">
        <v>0</v>
      </c>
    </row>
    <row r="39" spans="1:11" x14ac:dyDescent="0.25">
      <c r="A39" s="1">
        <v>0</v>
      </c>
      <c r="B39" s="1">
        <v>1</v>
      </c>
      <c r="C39" s="1">
        <f t="shared" si="13"/>
        <v>0</v>
      </c>
      <c r="D39" s="1" t="s">
        <v>136</v>
      </c>
      <c r="E39" s="1">
        <v>0</v>
      </c>
      <c r="F39" s="1">
        <v>1</v>
      </c>
      <c r="G39" s="1">
        <f t="shared" ref="G39:G40" si="14">ROUND(G34/SQRT(1.5),3)</f>
        <v>0.40799999999999997</v>
      </c>
      <c r="H39" s="1" t="s">
        <v>217</v>
      </c>
      <c r="I39" s="1">
        <v>1</v>
      </c>
      <c r="J39" s="1">
        <v>1</v>
      </c>
      <c r="K39" s="1">
        <v>0</v>
      </c>
    </row>
    <row r="40" spans="1:11" x14ac:dyDescent="0.25">
      <c r="A40" s="1">
        <v>0</v>
      </c>
      <c r="B40" s="1">
        <v>0</v>
      </c>
      <c r="C40" s="1">
        <f>ROUND(C35/SQRT(1.5),3)</f>
        <v>1</v>
      </c>
      <c r="E40" s="1">
        <v>0</v>
      </c>
      <c r="F40" s="1">
        <v>0</v>
      </c>
      <c r="G40" s="1">
        <f t="shared" si="14"/>
        <v>0.81599999999999995</v>
      </c>
      <c r="I40" s="1">
        <v>0</v>
      </c>
      <c r="J40" s="1">
        <v>0.40799999999999997</v>
      </c>
      <c r="K40" s="1">
        <v>0.81599999999999995</v>
      </c>
    </row>
    <row r="42" spans="1:11" ht="17.25" customHeight="1" x14ac:dyDescent="0.25">
      <c r="A42" s="58" t="s">
        <v>234</v>
      </c>
      <c r="B42" s="58"/>
      <c r="C42" s="58"/>
      <c r="D42" s="58"/>
      <c r="E42" s="60" t="s">
        <v>235</v>
      </c>
      <c r="F42" s="60"/>
      <c r="G42" s="60"/>
      <c r="H42" s="60"/>
    </row>
    <row r="43" spans="1:11" x14ac:dyDescent="0.25">
      <c r="A43" s="58" t="s">
        <v>236</v>
      </c>
      <c r="B43" s="58"/>
      <c r="C43" s="58"/>
      <c r="D43" s="58"/>
      <c r="E43" s="2"/>
    </row>
    <row r="44" spans="1:11" x14ac:dyDescent="0.25">
      <c r="A44" s="58" t="s">
        <v>237</v>
      </c>
      <c r="B44" s="58"/>
      <c r="C44" s="58"/>
      <c r="D44" s="58"/>
      <c r="E44" s="2"/>
    </row>
    <row r="45" spans="1:11" x14ac:dyDescent="0.25">
      <c r="A45" s="58" t="s">
        <v>238</v>
      </c>
      <c r="B45" s="58"/>
      <c r="C45" s="58"/>
      <c r="D45" s="58"/>
      <c r="E45" s="59"/>
      <c r="F45" s="59"/>
    </row>
  </sheetData>
  <mergeCells count="13">
    <mergeCell ref="A44:D44"/>
    <mergeCell ref="A45:F45"/>
    <mergeCell ref="B27:H27"/>
    <mergeCell ref="B32:H32"/>
    <mergeCell ref="B37:H37"/>
    <mergeCell ref="A42:D42"/>
    <mergeCell ref="E42:H42"/>
    <mergeCell ref="A43:D43"/>
    <mergeCell ref="A1:G1"/>
    <mergeCell ref="B2:E2"/>
    <mergeCell ref="B12:H12"/>
    <mergeCell ref="B17:H17"/>
    <mergeCell ref="B22:H22"/>
  </mergeCells>
  <pageMargins left="0.7" right="0.7" top="0.75" bottom="0.75" header="0.3" footer="0.3"/>
  <pageSetup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>
      <selection sqref="A1:G1"/>
    </sheetView>
  </sheetViews>
  <sheetFormatPr defaultRowHeight="15" x14ac:dyDescent="0.25"/>
  <cols>
    <col min="1" max="10" width="8.5703125" style="1" customWidth="1"/>
    <col min="11" max="16384" width="9.140625" style="1"/>
  </cols>
  <sheetData>
    <row r="1" spans="1:10" ht="15.75" thickBot="1" x14ac:dyDescent="0.3">
      <c r="A1" s="50" t="s">
        <v>280</v>
      </c>
      <c r="B1" s="51"/>
      <c r="C1" s="51"/>
      <c r="D1" s="51"/>
      <c r="E1" s="51"/>
      <c r="F1" s="51"/>
      <c r="G1" s="55"/>
    </row>
    <row r="3" spans="1:10" ht="18" x14ac:dyDescent="0.25">
      <c r="B3" s="1">
        <v>5.07</v>
      </c>
      <c r="C3" s="1">
        <v>3.19</v>
      </c>
      <c r="D3" s="1">
        <v>2.3199999999999998</v>
      </c>
      <c r="E3" s="1">
        <v>1.87</v>
      </c>
      <c r="G3" s="1">
        <v>0.41799999999999998</v>
      </c>
      <c r="I3" s="1" t="s">
        <v>276</v>
      </c>
    </row>
    <row r="4" spans="1:10" ht="18" x14ac:dyDescent="0.25">
      <c r="A4" s="1" t="s">
        <v>90</v>
      </c>
      <c r="B4" s="1">
        <v>1.21</v>
      </c>
      <c r="C4" s="1">
        <v>8.9499999999999993</v>
      </c>
      <c r="D4" s="1">
        <v>2.04</v>
      </c>
      <c r="E4" s="1">
        <v>4.49</v>
      </c>
      <c r="F4" s="1" t="s">
        <v>274</v>
      </c>
      <c r="G4" s="1">
        <v>-1.3080000000000001</v>
      </c>
      <c r="H4" s="1" t="s">
        <v>275</v>
      </c>
      <c r="I4" s="1" t="s">
        <v>277</v>
      </c>
    </row>
    <row r="5" spans="1:10" ht="18" x14ac:dyDescent="0.25">
      <c r="B5" s="1">
        <v>-3.22</v>
      </c>
      <c r="C5" s="1">
        <v>-4.66</v>
      </c>
      <c r="D5" s="1">
        <v>9.93</v>
      </c>
      <c r="E5" s="1">
        <v>2.0499999999999998</v>
      </c>
      <c r="G5" s="1">
        <v>1.165</v>
      </c>
      <c r="I5" s="1" t="s">
        <v>278</v>
      </c>
    </row>
    <row r="6" spans="1:10" ht="18" x14ac:dyDescent="0.25">
      <c r="B6" s="1">
        <v>1.18</v>
      </c>
      <c r="C6" s="1">
        <v>6.72</v>
      </c>
      <c r="D6" s="1">
        <v>-3.66</v>
      </c>
      <c r="E6" s="1">
        <v>8.77</v>
      </c>
      <c r="G6" s="1">
        <v>-1.833</v>
      </c>
      <c r="I6" s="1" t="s">
        <v>279</v>
      </c>
    </row>
    <row r="7" spans="1:10" ht="15.75" thickBot="1" x14ac:dyDescent="0.3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25">
      <c r="A8" s="60" t="s">
        <v>255</v>
      </c>
      <c r="B8" s="60"/>
      <c r="C8" s="60"/>
      <c r="D8" s="60"/>
      <c r="E8" s="60"/>
    </row>
    <row r="10" spans="1:10" x14ac:dyDescent="0.25">
      <c r="A10" s="1" t="s">
        <v>243</v>
      </c>
      <c r="B10" s="1">
        <f>MDETERM(B3:E6)</f>
        <v>3651.0865872599989</v>
      </c>
    </row>
    <row r="12" spans="1:10" x14ac:dyDescent="0.25">
      <c r="B12" s="46">
        <v>0.41799999999999998</v>
      </c>
      <c r="C12" s="15">
        <v>3.19</v>
      </c>
      <c r="D12" s="15">
        <v>2.3199999999999998</v>
      </c>
      <c r="E12" s="47">
        <v>1.87</v>
      </c>
    </row>
    <row r="13" spans="1:10" ht="18" x14ac:dyDescent="0.25">
      <c r="A13" s="1" t="s">
        <v>249</v>
      </c>
      <c r="B13" s="46">
        <v>-1.3080000000000001</v>
      </c>
      <c r="C13" s="15">
        <v>8.9499999999999993</v>
      </c>
      <c r="D13" s="15">
        <v>2.04</v>
      </c>
      <c r="E13" s="47">
        <v>4.49</v>
      </c>
      <c r="F13" s="1" t="s">
        <v>136</v>
      </c>
      <c r="G13" s="1">
        <f>MDETERM(B12:E15)</f>
        <v>575.93118094400006</v>
      </c>
    </row>
    <row r="14" spans="1:10" x14ac:dyDescent="0.25">
      <c r="B14" s="46">
        <v>1.165</v>
      </c>
      <c r="C14" s="15">
        <v>-4.66</v>
      </c>
      <c r="D14" s="15">
        <v>9.93</v>
      </c>
      <c r="E14" s="47">
        <v>2.0499999999999998</v>
      </c>
    </row>
    <row r="15" spans="1:10" x14ac:dyDescent="0.25">
      <c r="B15" s="46">
        <v>-1.833</v>
      </c>
      <c r="C15" s="15">
        <v>6.72</v>
      </c>
      <c r="D15" s="15">
        <v>-3.66</v>
      </c>
      <c r="E15" s="47">
        <v>8.77</v>
      </c>
    </row>
    <row r="17" spans="1:7" x14ac:dyDescent="0.25">
      <c r="B17" s="46">
        <v>5.07</v>
      </c>
      <c r="C17" s="15">
        <v>0.41799999999999998</v>
      </c>
      <c r="D17" s="15">
        <v>2.3199999999999998</v>
      </c>
      <c r="E17" s="47">
        <v>1.87</v>
      </c>
    </row>
    <row r="18" spans="1:7" ht="18" x14ac:dyDescent="0.25">
      <c r="A18" s="1" t="s">
        <v>250</v>
      </c>
      <c r="B18" s="46">
        <v>1.21</v>
      </c>
      <c r="C18" s="15">
        <v>-1.3080000000000001</v>
      </c>
      <c r="D18" s="15">
        <v>2.04</v>
      </c>
      <c r="E18" s="47">
        <v>4.49</v>
      </c>
      <c r="F18" s="1" t="s">
        <v>136</v>
      </c>
      <c r="G18" s="1">
        <f t="shared" ref="G18:G28" si="0">MDETERM(B17:E20)</f>
        <v>-584.25523936599996</v>
      </c>
    </row>
    <row r="19" spans="1:7" x14ac:dyDescent="0.25">
      <c r="B19" s="46">
        <v>-3.22</v>
      </c>
      <c r="C19" s="15">
        <v>1.165</v>
      </c>
      <c r="D19" s="15">
        <v>9.93</v>
      </c>
      <c r="E19" s="47">
        <v>2.0499999999999998</v>
      </c>
    </row>
    <row r="20" spans="1:7" x14ac:dyDescent="0.25">
      <c r="B20" s="46">
        <v>1.18</v>
      </c>
      <c r="C20" s="15">
        <v>-1.833</v>
      </c>
      <c r="D20" s="15">
        <v>-3.66</v>
      </c>
      <c r="E20" s="47">
        <v>8.77</v>
      </c>
    </row>
    <row r="22" spans="1:7" x14ac:dyDescent="0.25">
      <c r="B22" s="46">
        <v>5.07</v>
      </c>
      <c r="C22" s="15">
        <v>3.19</v>
      </c>
      <c r="D22" s="15">
        <v>0.41799999999999998</v>
      </c>
      <c r="E22" s="47">
        <v>1.87</v>
      </c>
    </row>
    <row r="23" spans="1:7" ht="18" x14ac:dyDescent="0.25">
      <c r="A23" s="1" t="s">
        <v>251</v>
      </c>
      <c r="B23" s="46">
        <v>1.21</v>
      </c>
      <c r="C23" s="15">
        <v>8.9499999999999993</v>
      </c>
      <c r="D23" s="15">
        <v>-1.3080000000000001</v>
      </c>
      <c r="E23" s="47">
        <v>4.49</v>
      </c>
      <c r="F23" s="1" t="s">
        <v>136</v>
      </c>
      <c r="G23" s="1">
        <f t="shared" si="0"/>
        <v>388.56282698399991</v>
      </c>
    </row>
    <row r="24" spans="1:7" x14ac:dyDescent="0.25">
      <c r="B24" s="46">
        <v>-3.22</v>
      </c>
      <c r="C24" s="15">
        <v>-4.66</v>
      </c>
      <c r="D24" s="15">
        <v>1.165</v>
      </c>
      <c r="E24" s="47">
        <v>2.0499999999999998</v>
      </c>
    </row>
    <row r="25" spans="1:7" x14ac:dyDescent="0.25">
      <c r="B25" s="46">
        <v>1.18</v>
      </c>
      <c r="C25" s="15">
        <v>6.72</v>
      </c>
      <c r="D25" s="15">
        <v>-1.833</v>
      </c>
      <c r="E25" s="47">
        <v>8.77</v>
      </c>
    </row>
    <row r="27" spans="1:7" x14ac:dyDescent="0.25">
      <c r="B27" s="46">
        <v>5.07</v>
      </c>
      <c r="C27" s="15">
        <v>3.19</v>
      </c>
      <c r="D27" s="15">
        <v>2.3199999999999998</v>
      </c>
      <c r="E27" s="47">
        <v>0.41799999999999998</v>
      </c>
    </row>
    <row r="28" spans="1:7" ht="18" x14ac:dyDescent="0.25">
      <c r="A28" s="1" t="s">
        <v>252</v>
      </c>
      <c r="B28" s="46">
        <v>1.21</v>
      </c>
      <c r="C28" s="15">
        <v>8.9499999999999993</v>
      </c>
      <c r="D28" s="15">
        <v>2.04</v>
      </c>
      <c r="E28" s="47">
        <v>-1.3080000000000001</v>
      </c>
      <c r="F28" s="1" t="s">
        <v>136</v>
      </c>
      <c r="G28" s="1">
        <f t="shared" si="0"/>
        <v>-230.75317590199987</v>
      </c>
    </row>
    <row r="29" spans="1:7" x14ac:dyDescent="0.25">
      <c r="B29" s="46">
        <v>-3.22</v>
      </c>
      <c r="C29" s="15">
        <v>-4.66</v>
      </c>
      <c r="D29" s="15">
        <v>9.93</v>
      </c>
      <c r="E29" s="47">
        <v>1.165</v>
      </c>
    </row>
    <row r="30" spans="1:7" x14ac:dyDescent="0.25">
      <c r="B30" s="46">
        <v>1.18</v>
      </c>
      <c r="C30" s="15">
        <v>6.72</v>
      </c>
      <c r="D30" s="15">
        <v>-3.66</v>
      </c>
      <c r="E30" s="47">
        <v>-1.833</v>
      </c>
    </row>
    <row r="31" spans="1:7" x14ac:dyDescent="0.25">
      <c r="A31" s="1" t="s">
        <v>244</v>
      </c>
    </row>
    <row r="32" spans="1:7" ht="18" x14ac:dyDescent="0.25">
      <c r="B32" s="1" t="s">
        <v>245</v>
      </c>
      <c r="C32" s="1">
        <f>G13/B10</f>
        <v>0.15774240549474736</v>
      </c>
      <c r="F32" s="1">
        <v>0.15774240549474736</v>
      </c>
    </row>
    <row r="33" spans="1:10" ht="18" x14ac:dyDescent="0.25">
      <c r="B33" s="1" t="s">
        <v>246</v>
      </c>
      <c r="C33" s="1">
        <f>G18/B10</f>
        <v>-0.160022290735225</v>
      </c>
      <c r="D33" s="1" t="s">
        <v>159</v>
      </c>
      <c r="E33" s="1" t="s">
        <v>91</v>
      </c>
      <c r="F33" s="1">
        <v>-0.160022290735225</v>
      </c>
    </row>
    <row r="34" spans="1:10" ht="18" x14ac:dyDescent="0.25">
      <c r="B34" s="1" t="s">
        <v>247</v>
      </c>
      <c r="C34" s="1">
        <f>G23/B10</f>
        <v>0.10642388716275324</v>
      </c>
      <c r="F34" s="1">
        <v>0.10642388716275324</v>
      </c>
    </row>
    <row r="35" spans="1:10" ht="18" x14ac:dyDescent="0.25">
      <c r="B35" s="1" t="s">
        <v>248</v>
      </c>
      <c r="C35" s="1">
        <f>G28/B10</f>
        <v>-6.320123349229341E-2</v>
      </c>
      <c r="F35" s="1">
        <v>-6.320123349229341E-2</v>
      </c>
    </row>
    <row r="36" spans="1:10" ht="15.75" thickBo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x14ac:dyDescent="0.25">
      <c r="A37" s="60" t="s">
        <v>256</v>
      </c>
      <c r="B37" s="60"/>
      <c r="C37" s="60"/>
      <c r="D37" s="60"/>
      <c r="E37" s="60"/>
    </row>
    <row r="38" spans="1:10" x14ac:dyDescent="0.25">
      <c r="B38" s="1" t="s">
        <v>105</v>
      </c>
      <c r="C38" s="1">
        <f>MDETERM(B3:E6)</f>
        <v>3651.0865872599989</v>
      </c>
      <c r="D38" s="69" t="s">
        <v>253</v>
      </c>
      <c r="E38" s="70"/>
      <c r="F38" s="70"/>
    </row>
    <row r="40" spans="1:10" ht="17.25" x14ac:dyDescent="0.25">
      <c r="A40" s="1" t="s">
        <v>101</v>
      </c>
      <c r="B40" s="1">
        <f t="array" ref="B40:E43">MINVERSE(B3:E6)</f>
        <v>0.2013127696189744</v>
      </c>
      <c r="C40" s="1">
        <v>-9.1924249118362458E-2</v>
      </c>
      <c r="D40" s="1">
        <v>-2.4512218448142442E-2</v>
      </c>
      <c r="E40" s="1">
        <v>9.8671661542368543E-3</v>
      </c>
      <c r="H40" s="1">
        <v>0.41799999999999998</v>
      </c>
    </row>
    <row r="41" spans="1:10" x14ac:dyDescent="0.25">
      <c r="B41" s="1">
        <v>-4.8560987191776553E-2</v>
      </c>
      <c r="C41" s="1">
        <v>0.15086495426375798</v>
      </c>
      <c r="D41" s="1">
        <v>-4.0786057640926514E-2</v>
      </c>
      <c r="E41" s="1">
        <v>-5.7350419661545242E-2</v>
      </c>
      <c r="G41" s="1" t="s">
        <v>242</v>
      </c>
      <c r="H41" s="1">
        <v>-1.3080000000000001</v>
      </c>
    </row>
    <row r="42" spans="1:10" x14ac:dyDescent="0.25">
      <c r="B42" s="1">
        <v>3.7196158117388682E-2</v>
      </c>
      <c r="C42" s="1">
        <v>5.7360143342195247E-2</v>
      </c>
      <c r="D42" s="1">
        <v>6.1209728298367926E-2</v>
      </c>
      <c r="E42" s="1">
        <v>-5.1605906761417075E-2</v>
      </c>
      <c r="H42" s="1">
        <v>1.165</v>
      </c>
    </row>
    <row r="43" spans="1:10" x14ac:dyDescent="0.25">
      <c r="B43" s="1">
        <v>2.5646374514024087E-2</v>
      </c>
      <c r="C43" s="1">
        <v>-7.9293472526835954E-2</v>
      </c>
      <c r="D43" s="1">
        <v>6.0095134628034307E-2</v>
      </c>
      <c r="E43" s="1">
        <v>0.13510535294376261</v>
      </c>
      <c r="H43" s="1">
        <v>-1.833</v>
      </c>
    </row>
    <row r="45" spans="1:10" ht="18" x14ac:dyDescent="0.25">
      <c r="B45" s="1" t="s">
        <v>254</v>
      </c>
      <c r="C45" s="1">
        <f t="array" ref="C45:C48">MMULT(B40:E43,H40:H43)</f>
        <v>0.15774240549474727</v>
      </c>
      <c r="D45" s="1" t="s">
        <v>159</v>
      </c>
      <c r="E45" s="1" t="s">
        <v>245</v>
      </c>
      <c r="F45" s="1">
        <v>0.15774240549474727</v>
      </c>
    </row>
    <row r="46" spans="1:10" ht="18" x14ac:dyDescent="0.25">
      <c r="C46" s="1">
        <v>-0.160022290735225</v>
      </c>
      <c r="E46" s="1" t="s">
        <v>246</v>
      </c>
      <c r="F46" s="1">
        <v>-0.160022290735225</v>
      </c>
    </row>
    <row r="47" spans="1:10" ht="18" x14ac:dyDescent="0.25">
      <c r="C47" s="1">
        <v>0.10642388716275321</v>
      </c>
      <c r="E47" s="1" t="s">
        <v>247</v>
      </c>
      <c r="F47" s="1">
        <v>0.10642388716275321</v>
      </c>
    </row>
    <row r="48" spans="1:10" ht="18" x14ac:dyDescent="0.25">
      <c r="C48" s="1">
        <v>-6.3201233492293396E-2</v>
      </c>
      <c r="E48" s="1" t="s">
        <v>248</v>
      </c>
      <c r="F48" s="1">
        <v>-6.3201233492293396E-2</v>
      </c>
    </row>
    <row r="49" spans="1:10" ht="15.75" thickBot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25">
      <c r="A50" s="60" t="s">
        <v>273</v>
      </c>
      <c r="B50" s="60"/>
      <c r="C50" s="60"/>
      <c r="D50" s="60"/>
      <c r="E50" s="60"/>
    </row>
    <row r="52" spans="1:10" x14ac:dyDescent="0.25">
      <c r="B52" s="1">
        <v>5.07</v>
      </c>
      <c r="C52" s="1">
        <v>3.19</v>
      </c>
      <c r="D52" s="1">
        <v>2.3199999999999998</v>
      </c>
      <c r="E52" s="1">
        <v>1.87</v>
      </c>
      <c r="F52" s="48">
        <v>1</v>
      </c>
      <c r="G52" s="15">
        <v>0</v>
      </c>
      <c r="H52" s="15">
        <v>0</v>
      </c>
      <c r="I52" s="49">
        <v>0</v>
      </c>
      <c r="J52" s="1">
        <v>0.41799999999999998</v>
      </c>
    </row>
    <row r="53" spans="1:10" x14ac:dyDescent="0.25">
      <c r="A53" s="1" t="s">
        <v>257</v>
      </c>
      <c r="B53" s="1">
        <v>1.21</v>
      </c>
      <c r="C53" s="1">
        <v>8.9499999999999993</v>
      </c>
      <c r="D53" s="1">
        <v>2.04</v>
      </c>
      <c r="E53" s="1">
        <v>4.49</v>
      </c>
      <c r="F53" s="48">
        <v>0</v>
      </c>
      <c r="G53" s="15">
        <v>1</v>
      </c>
      <c r="H53" s="15">
        <v>0</v>
      </c>
      <c r="I53" s="49">
        <v>0</v>
      </c>
      <c r="J53" s="1">
        <v>-1.3080000000000001</v>
      </c>
    </row>
    <row r="54" spans="1:10" x14ac:dyDescent="0.25">
      <c r="B54" s="1">
        <v>-3.22</v>
      </c>
      <c r="C54" s="1">
        <v>-4.66</v>
      </c>
      <c r="D54" s="1">
        <v>9.93</v>
      </c>
      <c r="E54" s="1">
        <v>2.0499999999999998</v>
      </c>
      <c r="F54" s="48">
        <v>0</v>
      </c>
      <c r="G54" s="15">
        <v>0</v>
      </c>
      <c r="H54" s="15">
        <v>1</v>
      </c>
      <c r="I54" s="49">
        <v>0</v>
      </c>
      <c r="J54" s="1">
        <v>1.165</v>
      </c>
    </row>
    <row r="55" spans="1:10" x14ac:dyDescent="0.25">
      <c r="B55" s="1">
        <v>1.18</v>
      </c>
      <c r="C55" s="1">
        <v>6.72</v>
      </c>
      <c r="D55" s="1">
        <v>-3.66</v>
      </c>
      <c r="E55" s="1">
        <v>8.77</v>
      </c>
      <c r="F55" s="48">
        <v>0</v>
      </c>
      <c r="G55" s="15">
        <v>0</v>
      </c>
      <c r="H55" s="15">
        <v>0</v>
      </c>
      <c r="I55" s="49">
        <v>1</v>
      </c>
      <c r="J55" s="1">
        <v>-1.833</v>
      </c>
    </row>
    <row r="57" spans="1:10" x14ac:dyDescent="0.25">
      <c r="B57" s="58" t="s">
        <v>258</v>
      </c>
      <c r="C57" s="58"/>
      <c r="D57" s="58"/>
      <c r="E57" s="58"/>
      <c r="F57" s="58"/>
      <c r="G57" s="58"/>
    </row>
    <row r="59" spans="1:10" x14ac:dyDescent="0.25">
      <c r="B59" s="1">
        <f>B52/$B$52</f>
        <v>1</v>
      </c>
      <c r="C59" s="1">
        <f t="shared" ref="C59:J59" si="1">C52/$B$52</f>
        <v>0.6291913214990138</v>
      </c>
      <c r="D59" s="1">
        <f t="shared" si="1"/>
        <v>0.45759368836291908</v>
      </c>
      <c r="E59" s="1">
        <f t="shared" si="1"/>
        <v>0.36883629191321499</v>
      </c>
      <c r="F59" s="48">
        <f t="shared" si="1"/>
        <v>0.1972386587771203</v>
      </c>
      <c r="G59" s="15">
        <f t="shared" si="1"/>
        <v>0</v>
      </c>
      <c r="H59" s="15">
        <f t="shared" si="1"/>
        <v>0</v>
      </c>
      <c r="I59" s="49">
        <f t="shared" si="1"/>
        <v>0</v>
      </c>
      <c r="J59" s="1">
        <f t="shared" si="1"/>
        <v>8.2445759368836288E-2</v>
      </c>
    </row>
    <row r="60" spans="1:10" x14ac:dyDescent="0.25">
      <c r="A60" s="1" t="s">
        <v>266</v>
      </c>
      <c r="B60" s="1">
        <v>1.21</v>
      </c>
      <c r="C60" s="1">
        <v>8.9499999999999993</v>
      </c>
      <c r="D60" s="1">
        <v>2.04</v>
      </c>
      <c r="E60" s="1">
        <v>4.49</v>
      </c>
      <c r="F60" s="48">
        <v>0</v>
      </c>
      <c r="G60" s="15">
        <v>1</v>
      </c>
      <c r="H60" s="15">
        <v>0</v>
      </c>
      <c r="I60" s="49">
        <v>0</v>
      </c>
      <c r="J60" s="1">
        <v>-1.3080000000000001</v>
      </c>
    </row>
    <row r="61" spans="1:10" x14ac:dyDescent="0.25">
      <c r="B61" s="1">
        <v>-3.22</v>
      </c>
      <c r="C61" s="1">
        <v>-4.66</v>
      </c>
      <c r="D61" s="1">
        <v>9.93</v>
      </c>
      <c r="E61" s="1">
        <v>2.0499999999999998</v>
      </c>
      <c r="F61" s="48">
        <v>0</v>
      </c>
      <c r="G61" s="15">
        <v>0</v>
      </c>
      <c r="H61" s="15">
        <v>1</v>
      </c>
      <c r="I61" s="49">
        <v>0</v>
      </c>
      <c r="J61" s="1">
        <v>1.165</v>
      </c>
    </row>
    <row r="62" spans="1:10" x14ac:dyDescent="0.25">
      <c r="B62" s="1">
        <v>1.18</v>
      </c>
      <c r="C62" s="1">
        <v>6.72</v>
      </c>
      <c r="D62" s="1">
        <v>-3.66</v>
      </c>
      <c r="E62" s="1">
        <v>8.77</v>
      </c>
      <c r="F62" s="48">
        <v>0</v>
      </c>
      <c r="G62" s="15">
        <v>0</v>
      </c>
      <c r="H62" s="15">
        <v>0</v>
      </c>
      <c r="I62" s="49">
        <v>1</v>
      </c>
      <c r="J62" s="1">
        <v>-1.833</v>
      </c>
    </row>
    <row r="64" spans="1:10" x14ac:dyDescent="0.25">
      <c r="B64" s="58" t="s">
        <v>259</v>
      </c>
      <c r="C64" s="58"/>
      <c r="D64" s="58"/>
      <c r="E64" s="58"/>
      <c r="F64" s="58"/>
      <c r="G64" s="58"/>
    </row>
    <row r="66" spans="1:10" x14ac:dyDescent="0.25">
      <c r="B66" s="1">
        <v>1</v>
      </c>
      <c r="C66" s="1">
        <v>0.6291913214990138</v>
      </c>
      <c r="D66" s="1">
        <v>0.45759368836291908</v>
      </c>
      <c r="E66" s="1">
        <v>0.36883629191321499</v>
      </c>
      <c r="F66" s="48">
        <v>0.1972386587771203</v>
      </c>
      <c r="G66" s="15">
        <v>0</v>
      </c>
      <c r="H66" s="15">
        <v>0</v>
      </c>
      <c r="I66" s="49">
        <v>0</v>
      </c>
      <c r="J66" s="1">
        <v>8.2445759368836288E-2</v>
      </c>
    </row>
    <row r="67" spans="1:10" x14ac:dyDescent="0.25">
      <c r="A67" s="1" t="s">
        <v>266</v>
      </c>
      <c r="B67" s="1">
        <f>B60-$B$60*B59</f>
        <v>0</v>
      </c>
      <c r="C67" s="1">
        <f t="shared" ref="C67:J67" si="2">C60-$B$60*C59</f>
        <v>8.1886785009861924</v>
      </c>
      <c r="D67" s="1">
        <f t="shared" si="2"/>
        <v>1.486311637080868</v>
      </c>
      <c r="E67" s="1">
        <f t="shared" si="2"/>
        <v>4.0437080867850099</v>
      </c>
      <c r="F67" s="48">
        <f t="shared" si="2"/>
        <v>-0.23865877712031555</v>
      </c>
      <c r="G67" s="15">
        <f t="shared" si="2"/>
        <v>1</v>
      </c>
      <c r="H67" s="15">
        <f t="shared" si="2"/>
        <v>0</v>
      </c>
      <c r="I67" s="49">
        <f t="shared" si="2"/>
        <v>0</v>
      </c>
      <c r="J67" s="1">
        <f t="shared" si="2"/>
        <v>-1.4077593688362919</v>
      </c>
    </row>
    <row r="68" spans="1:10" x14ac:dyDescent="0.25">
      <c r="B68" s="1">
        <f>B61+-$B$61*B59</f>
        <v>0</v>
      </c>
      <c r="C68" s="1">
        <f t="shared" ref="C68:J68" si="3">C61+-$B$61*C59</f>
        <v>-2.6340039447731756</v>
      </c>
      <c r="D68" s="1">
        <f t="shared" si="3"/>
        <v>11.403451676528599</v>
      </c>
      <c r="E68" s="1">
        <f t="shared" si="3"/>
        <v>3.2376528599605523</v>
      </c>
      <c r="F68" s="48">
        <f t="shared" si="3"/>
        <v>0.63510848126232744</v>
      </c>
      <c r="G68" s="15">
        <f t="shared" si="3"/>
        <v>0</v>
      </c>
      <c r="H68" s="15">
        <f t="shared" si="3"/>
        <v>1</v>
      </c>
      <c r="I68" s="49">
        <f t="shared" si="3"/>
        <v>0</v>
      </c>
      <c r="J68" s="1">
        <f t="shared" si="3"/>
        <v>1.4304753451676528</v>
      </c>
    </row>
    <row r="69" spans="1:10" x14ac:dyDescent="0.25">
      <c r="B69" s="1">
        <f>B62-$B$62*B59</f>
        <v>0</v>
      </c>
      <c r="C69" s="1">
        <f t="shared" ref="C69:J69" si="4">C62-$B$62*C59</f>
        <v>5.9775542406311635</v>
      </c>
      <c r="D69" s="1">
        <f t="shared" si="4"/>
        <v>-4.1999605522682444</v>
      </c>
      <c r="E69" s="1">
        <f t="shared" si="4"/>
        <v>8.3347731755424057</v>
      </c>
      <c r="F69" s="48">
        <f t="shared" si="4"/>
        <v>-0.23274161735700194</v>
      </c>
      <c r="G69" s="15">
        <f t="shared" si="4"/>
        <v>0</v>
      </c>
      <c r="H69" s="15">
        <f t="shared" si="4"/>
        <v>0</v>
      </c>
      <c r="I69" s="49">
        <f t="shared" si="4"/>
        <v>1</v>
      </c>
      <c r="J69" s="1">
        <f t="shared" si="4"/>
        <v>-1.9302859960552268</v>
      </c>
    </row>
    <row r="71" spans="1:10" x14ac:dyDescent="0.25">
      <c r="B71" s="58" t="s">
        <v>260</v>
      </c>
      <c r="C71" s="58"/>
      <c r="D71" s="58"/>
      <c r="E71" s="58"/>
      <c r="F71" s="58"/>
      <c r="G71" s="58"/>
    </row>
    <row r="72" spans="1:10" x14ac:dyDescent="0.25">
      <c r="B72" s="45"/>
      <c r="C72" s="45"/>
      <c r="D72" s="45"/>
      <c r="E72" s="45"/>
      <c r="F72" s="45"/>
      <c r="G72" s="45"/>
    </row>
    <row r="73" spans="1:10" x14ac:dyDescent="0.25">
      <c r="B73" s="1">
        <v>1</v>
      </c>
      <c r="C73" s="1">
        <v>0.6291913214990138</v>
      </c>
      <c r="D73" s="1">
        <v>0.45759368836291908</v>
      </c>
      <c r="E73" s="1">
        <v>0.36883629191321499</v>
      </c>
      <c r="F73" s="48">
        <v>0.1972386587771203</v>
      </c>
      <c r="G73" s="15">
        <v>0</v>
      </c>
      <c r="H73" s="15">
        <v>0</v>
      </c>
      <c r="I73" s="49">
        <v>0</v>
      </c>
      <c r="J73" s="1">
        <v>8.2445759368836288E-2</v>
      </c>
    </row>
    <row r="74" spans="1:10" x14ac:dyDescent="0.25">
      <c r="A74" s="1" t="s">
        <v>266</v>
      </c>
      <c r="B74" s="1">
        <f>B67/$C$67</f>
        <v>0</v>
      </c>
      <c r="C74" s="1">
        <f t="shared" ref="C74:J74" si="5">C67/$C$67</f>
        <v>1</v>
      </c>
      <c r="D74" s="1">
        <f t="shared" si="5"/>
        <v>0.18150811964370883</v>
      </c>
      <c r="E74" s="1">
        <f t="shared" si="5"/>
        <v>0.49381693105890179</v>
      </c>
      <c r="F74" s="48">
        <f t="shared" si="5"/>
        <v>-2.914496851861665E-2</v>
      </c>
      <c r="G74" s="15">
        <f t="shared" si="5"/>
        <v>0.12211982676808796</v>
      </c>
      <c r="H74" s="15">
        <f t="shared" si="5"/>
        <v>0</v>
      </c>
      <c r="I74" s="49">
        <f t="shared" si="5"/>
        <v>0</v>
      </c>
      <c r="J74" s="1">
        <f t="shared" si="5"/>
        <v>-0.1719153302534408</v>
      </c>
    </row>
    <row r="75" spans="1:10" x14ac:dyDescent="0.25">
      <c r="B75" s="1">
        <v>0</v>
      </c>
      <c r="C75" s="1">
        <v>-2.6340039447731756</v>
      </c>
      <c r="D75" s="1">
        <v>11.403451676528599</v>
      </c>
      <c r="E75" s="1">
        <v>3.2376528599605523</v>
      </c>
      <c r="F75" s="48">
        <v>0.63510848126232744</v>
      </c>
      <c r="G75" s="15">
        <v>0</v>
      </c>
      <c r="H75" s="15">
        <v>1</v>
      </c>
      <c r="I75" s="49">
        <v>0</v>
      </c>
      <c r="J75" s="1">
        <v>1.4304753451676528</v>
      </c>
    </row>
    <row r="76" spans="1:10" x14ac:dyDescent="0.25">
      <c r="B76" s="1">
        <v>0</v>
      </c>
      <c r="C76" s="1">
        <v>5.9775542406311635</v>
      </c>
      <c r="D76" s="1">
        <v>-4.1999605522682444</v>
      </c>
      <c r="E76" s="1">
        <v>8.3347731755424057</v>
      </c>
      <c r="F76" s="48">
        <v>-0.23274161735700194</v>
      </c>
      <c r="G76" s="15">
        <v>0</v>
      </c>
      <c r="H76" s="15">
        <v>0</v>
      </c>
      <c r="I76" s="49">
        <v>1</v>
      </c>
      <c r="J76" s="1">
        <v>-1.9302859960552268</v>
      </c>
    </row>
    <row r="78" spans="1:10" x14ac:dyDescent="0.25">
      <c r="B78" s="58" t="s">
        <v>261</v>
      </c>
      <c r="C78" s="58"/>
      <c r="D78" s="58"/>
      <c r="E78" s="58"/>
      <c r="F78" s="58"/>
      <c r="G78" s="58"/>
    </row>
    <row r="80" spans="1:10" x14ac:dyDescent="0.25">
      <c r="B80" s="1">
        <f>B73-$C$73*B74</f>
        <v>1</v>
      </c>
      <c r="C80" s="1">
        <f t="shared" ref="C80:J80" si="6">C73-$C$73*C74</f>
        <v>0</v>
      </c>
      <c r="D80" s="1">
        <f t="shared" si="6"/>
        <v>0.34339035470149282</v>
      </c>
      <c r="E80" s="1">
        <f t="shared" si="6"/>
        <v>5.8130964481677205E-2</v>
      </c>
      <c r="F80" s="48">
        <f t="shared" si="6"/>
        <v>0.21557642003439587</v>
      </c>
      <c r="G80" s="15">
        <f t="shared" si="6"/>
        <v>-7.68367351854439E-2</v>
      </c>
      <c r="H80" s="15">
        <f t="shared" si="6"/>
        <v>0</v>
      </c>
      <c r="I80" s="49">
        <f t="shared" si="6"/>
        <v>0</v>
      </c>
      <c r="J80" s="1">
        <f t="shared" si="6"/>
        <v>0.1906133931969381</v>
      </c>
    </row>
    <row r="81" spans="1:10" x14ac:dyDescent="0.25">
      <c r="A81" s="1" t="s">
        <v>266</v>
      </c>
      <c r="B81" s="1">
        <v>0</v>
      </c>
      <c r="C81" s="1">
        <v>1</v>
      </c>
      <c r="D81" s="1">
        <v>0.18150811964370883</v>
      </c>
      <c r="E81" s="1">
        <v>0.49381693105890179</v>
      </c>
      <c r="F81" s="48">
        <v>-2.914496851861665E-2</v>
      </c>
      <c r="G81" s="15">
        <v>0.12211982676808796</v>
      </c>
      <c r="H81" s="15">
        <v>0</v>
      </c>
      <c r="I81" s="49">
        <v>0</v>
      </c>
      <c r="J81" s="1">
        <v>-0.1719153302534408</v>
      </c>
    </row>
    <row r="82" spans="1:10" x14ac:dyDescent="0.25">
      <c r="B82" s="1">
        <f>B75-$C$75*B74</f>
        <v>0</v>
      </c>
      <c r="C82" s="1">
        <f t="shared" ref="C82:J82" si="7">C75-$C$75*C74</f>
        <v>0</v>
      </c>
      <c r="D82" s="1">
        <f t="shared" si="7"/>
        <v>11.881544779678489</v>
      </c>
      <c r="E82" s="1">
        <f t="shared" si="7"/>
        <v>4.5383686043654832</v>
      </c>
      <c r="F82" s="48">
        <f t="shared" si="7"/>
        <v>0.55834051921400119</v>
      </c>
      <c r="G82" s="15">
        <f t="shared" si="7"/>
        <v>0.32166410544216051</v>
      </c>
      <c r="H82" s="15">
        <f t="shared" si="7"/>
        <v>1</v>
      </c>
      <c r="I82" s="49">
        <f t="shared" si="7"/>
        <v>0</v>
      </c>
      <c r="J82" s="1">
        <f t="shared" si="7"/>
        <v>0.97764968711310651</v>
      </c>
    </row>
    <row r="83" spans="1:10" x14ac:dyDescent="0.25">
      <c r="B83" s="1">
        <f>B76-B74*$C$76</f>
        <v>0</v>
      </c>
      <c r="C83" s="1">
        <f t="shared" ref="C83:J83" si="8">C76-C74*$C$76</f>
        <v>0</v>
      </c>
      <c r="D83" s="1">
        <f t="shared" si="8"/>
        <v>-5.2849351825534843</v>
      </c>
      <c r="E83" s="1">
        <f t="shared" si="8"/>
        <v>5.3829556851958005</v>
      </c>
      <c r="F83" s="48">
        <f t="shared" si="8"/>
        <v>-5.8525987195483214E-2</v>
      </c>
      <c r="G83" s="15">
        <f t="shared" si="8"/>
        <v>-0.72997788836272726</v>
      </c>
      <c r="H83" s="15">
        <f t="shared" si="8"/>
        <v>0</v>
      </c>
      <c r="I83" s="49">
        <f t="shared" si="8"/>
        <v>1</v>
      </c>
      <c r="J83" s="1">
        <f t="shared" si="8"/>
        <v>-0.90265278466926469</v>
      </c>
    </row>
    <row r="85" spans="1:10" x14ac:dyDescent="0.25">
      <c r="B85" s="58" t="s">
        <v>262</v>
      </c>
      <c r="C85" s="58"/>
      <c r="D85" s="58"/>
      <c r="E85" s="58"/>
      <c r="F85" s="58"/>
      <c r="G85" s="58"/>
    </row>
    <row r="87" spans="1:10" x14ac:dyDescent="0.25">
      <c r="B87" s="1">
        <v>1</v>
      </c>
      <c r="C87" s="1">
        <v>0</v>
      </c>
      <c r="D87" s="1">
        <v>0.34339035470149282</v>
      </c>
      <c r="E87" s="1">
        <v>5.8130964481677205E-2</v>
      </c>
      <c r="F87" s="48">
        <v>0.21557642003439587</v>
      </c>
      <c r="G87" s="15">
        <v>-7.68367351854439E-2</v>
      </c>
      <c r="H87" s="15">
        <v>0</v>
      </c>
      <c r="I87" s="49">
        <v>0</v>
      </c>
      <c r="J87" s="1">
        <v>0.1906133931969381</v>
      </c>
    </row>
    <row r="88" spans="1:10" x14ac:dyDescent="0.25">
      <c r="A88" s="1" t="s">
        <v>266</v>
      </c>
      <c r="B88" s="1">
        <v>0</v>
      </c>
      <c r="C88" s="1">
        <v>1</v>
      </c>
      <c r="D88" s="1">
        <v>0.18150811964370883</v>
      </c>
      <c r="E88" s="1">
        <v>0.49381693105890179</v>
      </c>
      <c r="F88" s="48">
        <v>-2.914496851861665E-2</v>
      </c>
      <c r="G88" s="15">
        <v>0.12211982676808796</v>
      </c>
      <c r="H88" s="15">
        <v>0</v>
      </c>
      <c r="I88" s="49">
        <v>0</v>
      </c>
      <c r="J88" s="1">
        <v>-0.1719153302534408</v>
      </c>
    </row>
    <row r="89" spans="1:10" x14ac:dyDescent="0.25">
      <c r="B89" s="1">
        <f>B82/$D$82</f>
        <v>0</v>
      </c>
      <c r="C89" s="1">
        <f t="shared" ref="C89:J89" si="9">C82/$D$82</f>
        <v>0</v>
      </c>
      <c r="D89" s="1">
        <f t="shared" si="9"/>
        <v>1</v>
      </c>
      <c r="E89" s="1">
        <f t="shared" si="9"/>
        <v>0.38196789125666958</v>
      </c>
      <c r="F89" s="48">
        <f t="shared" si="9"/>
        <v>4.699224970888926E-2</v>
      </c>
      <c r="G89" s="15">
        <f t="shared" si="9"/>
        <v>2.7072582850701056E-2</v>
      </c>
      <c r="H89" s="15">
        <f t="shared" si="9"/>
        <v>8.416414014702385E-2</v>
      </c>
      <c r="I89" s="49">
        <f t="shared" si="9"/>
        <v>0</v>
      </c>
      <c r="J89" s="1">
        <f t="shared" si="9"/>
        <v>8.2283045280881512E-2</v>
      </c>
    </row>
    <row r="90" spans="1:10" x14ac:dyDescent="0.25">
      <c r="B90" s="1">
        <v>0</v>
      </c>
      <c r="C90" s="1">
        <v>0</v>
      </c>
      <c r="D90" s="1">
        <v>-5.2849351825534843</v>
      </c>
      <c r="E90" s="1">
        <v>5.3829556851958005</v>
      </c>
      <c r="F90" s="48">
        <v>-5.8525987195483214E-2</v>
      </c>
      <c r="G90" s="15">
        <v>-0.72997788836272726</v>
      </c>
      <c r="H90" s="15">
        <v>0</v>
      </c>
      <c r="I90" s="49">
        <v>1</v>
      </c>
      <c r="J90" s="1">
        <v>-0.90265278466926469</v>
      </c>
    </row>
    <row r="92" spans="1:10" x14ac:dyDescent="0.25">
      <c r="B92" s="58" t="s">
        <v>263</v>
      </c>
      <c r="C92" s="58"/>
      <c r="D92" s="58"/>
      <c r="E92" s="58"/>
      <c r="F92" s="58"/>
      <c r="G92" s="58"/>
    </row>
    <row r="94" spans="1:10" x14ac:dyDescent="0.25">
      <c r="B94" s="1">
        <f>B87-B89*$D$87</f>
        <v>1</v>
      </c>
      <c r="C94" s="1">
        <f t="shared" ref="C94:J94" si="10">C87-C89*$D$87</f>
        <v>0</v>
      </c>
      <c r="D94" s="1">
        <f t="shared" si="10"/>
        <v>0</v>
      </c>
      <c r="E94" s="1">
        <f t="shared" si="10"/>
        <v>-7.3033125181531794E-2</v>
      </c>
      <c r="F94" s="48">
        <f t="shared" si="10"/>
        <v>0.19943973473863927</v>
      </c>
      <c r="G94" s="15">
        <f t="shared" si="10"/>
        <v>-8.6133199013231687E-2</v>
      </c>
      <c r="H94" s="15">
        <f t="shared" si="10"/>
        <v>-2.8901153938232671E-2</v>
      </c>
      <c r="I94" s="49">
        <f t="shared" si="10"/>
        <v>0</v>
      </c>
      <c r="J94" s="1">
        <f t="shared" si="10"/>
        <v>0.16235818909201721</v>
      </c>
    </row>
    <row r="95" spans="1:10" x14ac:dyDescent="0.25">
      <c r="A95" s="1" t="s">
        <v>266</v>
      </c>
      <c r="B95" s="1">
        <f>B88-B89*$D$88</f>
        <v>0</v>
      </c>
      <c r="C95" s="1">
        <f t="shared" ref="C95:J95" si="11">C88-C89*$D$88</f>
        <v>1</v>
      </c>
      <c r="D95" s="1">
        <f t="shared" si="11"/>
        <v>0</v>
      </c>
      <c r="E95" s="1">
        <f t="shared" si="11"/>
        <v>0.42448665735263102</v>
      </c>
      <c r="F95" s="48">
        <f t="shared" si="11"/>
        <v>-3.7674443401104762E-2</v>
      </c>
      <c r="G95" s="15">
        <f t="shared" si="11"/>
        <v>0.11720593316095869</v>
      </c>
      <c r="H95" s="15">
        <f t="shared" si="11"/>
        <v>-1.5276474819515882E-2</v>
      </c>
      <c r="I95" s="49">
        <f t="shared" si="11"/>
        <v>0</v>
      </c>
      <c r="J95" s="1">
        <f t="shared" si="11"/>
        <v>-0.18685037108093175</v>
      </c>
    </row>
    <row r="96" spans="1:10" x14ac:dyDescent="0.25">
      <c r="B96" s="1">
        <v>0</v>
      </c>
      <c r="C96" s="1">
        <v>0</v>
      </c>
      <c r="D96" s="1">
        <v>1</v>
      </c>
      <c r="E96" s="1">
        <v>0.38196789125666958</v>
      </c>
      <c r="F96" s="48">
        <v>4.699224970888926E-2</v>
      </c>
      <c r="G96" s="15">
        <v>2.7072582850701056E-2</v>
      </c>
      <c r="H96" s="15">
        <v>8.416414014702385E-2</v>
      </c>
      <c r="I96" s="49">
        <v>0</v>
      </c>
      <c r="J96" s="1">
        <v>8.2283045280881512E-2</v>
      </c>
    </row>
    <row r="97" spans="1:10" x14ac:dyDescent="0.25">
      <c r="B97" s="1">
        <f>B90-B89*$D$90</f>
        <v>0</v>
      </c>
      <c r="C97" s="1">
        <f t="shared" ref="C97:J97" si="12">C90-C89*$D$90</f>
        <v>0</v>
      </c>
      <c r="D97" s="1">
        <f t="shared" si="12"/>
        <v>0</v>
      </c>
      <c r="E97" s="1">
        <f t="shared" si="12"/>
        <v>7.401631232303937</v>
      </c>
      <c r="F97" s="48">
        <f t="shared" si="12"/>
        <v>0.18982500659836438</v>
      </c>
      <c r="G97" s="15">
        <f t="shared" si="12"/>
        <v>-0.58690104277246313</v>
      </c>
      <c r="H97" s="15">
        <f t="shared" si="12"/>
        <v>0.44480202537236851</v>
      </c>
      <c r="I97" s="49">
        <f t="shared" si="12"/>
        <v>1</v>
      </c>
      <c r="J97" s="1">
        <f t="shared" si="12"/>
        <v>-0.46779222373669255</v>
      </c>
    </row>
    <row r="99" spans="1:10" x14ac:dyDescent="0.25">
      <c r="B99" s="58" t="s">
        <v>264</v>
      </c>
      <c r="C99" s="58"/>
      <c r="D99" s="58"/>
      <c r="E99" s="58"/>
      <c r="F99" s="58"/>
      <c r="G99" s="58"/>
    </row>
    <row r="101" spans="1:10" x14ac:dyDescent="0.25">
      <c r="B101" s="1">
        <v>1</v>
      </c>
      <c r="C101" s="1">
        <v>0</v>
      </c>
      <c r="D101" s="1">
        <v>0</v>
      </c>
      <c r="E101" s="1">
        <v>-7.3033125181531794E-2</v>
      </c>
      <c r="F101" s="48">
        <v>0.19943973473863927</v>
      </c>
      <c r="G101" s="15">
        <v>-8.6133199013231687E-2</v>
      </c>
      <c r="H101" s="15">
        <v>-2.8901153938232671E-2</v>
      </c>
      <c r="I101" s="49">
        <v>0</v>
      </c>
      <c r="J101" s="1">
        <v>0.16235818909201721</v>
      </c>
    </row>
    <row r="102" spans="1:10" x14ac:dyDescent="0.25">
      <c r="A102" s="1" t="s">
        <v>266</v>
      </c>
      <c r="B102" s="1">
        <v>0</v>
      </c>
      <c r="C102" s="1">
        <v>1</v>
      </c>
      <c r="D102" s="1">
        <v>0</v>
      </c>
      <c r="E102" s="1">
        <v>0.42448665735263102</v>
      </c>
      <c r="F102" s="48">
        <v>-3.7674443401104762E-2</v>
      </c>
      <c r="G102" s="15">
        <v>0.11720593316095869</v>
      </c>
      <c r="H102" s="15">
        <v>-1.5276474819515882E-2</v>
      </c>
      <c r="I102" s="49">
        <v>0</v>
      </c>
      <c r="J102" s="1">
        <v>-0.18685037108093175</v>
      </c>
    </row>
    <row r="103" spans="1:10" x14ac:dyDescent="0.25">
      <c r="B103" s="1">
        <v>0</v>
      </c>
      <c r="C103" s="1">
        <v>0</v>
      </c>
      <c r="D103" s="1">
        <v>1</v>
      </c>
      <c r="E103" s="1">
        <v>0.38196789125666958</v>
      </c>
      <c r="F103" s="48">
        <v>4.699224970888926E-2</v>
      </c>
      <c r="G103" s="15">
        <v>2.7072582850701056E-2</v>
      </c>
      <c r="H103" s="15">
        <v>8.416414014702385E-2</v>
      </c>
      <c r="I103" s="49">
        <v>0</v>
      </c>
      <c r="J103" s="1">
        <v>8.2283045280881512E-2</v>
      </c>
    </row>
    <row r="104" spans="1:10" x14ac:dyDescent="0.25">
      <c r="B104" s="1">
        <f>B97/$E$97</f>
        <v>0</v>
      </c>
      <c r="C104" s="1">
        <f t="shared" ref="C104:J104" si="13">C97/$E$97</f>
        <v>0</v>
      </c>
      <c r="D104" s="1">
        <f t="shared" si="13"/>
        <v>0</v>
      </c>
      <c r="E104" s="1">
        <f t="shared" si="13"/>
        <v>1</v>
      </c>
      <c r="F104" s="48">
        <f t="shared" si="13"/>
        <v>2.5646374514024087E-2</v>
      </c>
      <c r="G104" s="15">
        <f t="shared" si="13"/>
        <v>-7.9293472526835954E-2</v>
      </c>
      <c r="H104" s="15">
        <f t="shared" si="13"/>
        <v>6.00951346280343E-2</v>
      </c>
      <c r="I104" s="49">
        <f t="shared" si="13"/>
        <v>0.13510535294376261</v>
      </c>
      <c r="J104" s="1">
        <f t="shared" si="13"/>
        <v>-6.320123349229341E-2</v>
      </c>
    </row>
    <row r="106" spans="1:10" x14ac:dyDescent="0.25">
      <c r="B106" s="58" t="s">
        <v>265</v>
      </c>
      <c r="C106" s="58"/>
      <c r="D106" s="58"/>
      <c r="E106" s="58"/>
      <c r="F106" s="58"/>
      <c r="G106" s="58"/>
    </row>
    <row r="108" spans="1:10" x14ac:dyDescent="0.25">
      <c r="B108" s="1">
        <f>B101-B104*$E$101</f>
        <v>1</v>
      </c>
      <c r="C108" s="1">
        <f t="shared" ref="C108:J108" si="14">C101-C104*$E$101</f>
        <v>0</v>
      </c>
      <c r="D108" s="1">
        <f t="shared" si="14"/>
        <v>0</v>
      </c>
      <c r="E108" s="1">
        <f t="shared" si="14"/>
        <v>0</v>
      </c>
      <c r="F108" s="48">
        <f t="shared" si="14"/>
        <v>0.20131276961897443</v>
      </c>
      <c r="G108" s="15">
        <f t="shared" si="14"/>
        <v>-9.1924249118362444E-2</v>
      </c>
      <c r="H108" s="15">
        <f t="shared" si="14"/>
        <v>-2.4512218448142435E-2</v>
      </c>
      <c r="I108" s="49">
        <f t="shared" si="14"/>
        <v>9.8671661542368491E-3</v>
      </c>
      <c r="J108" s="1">
        <f t="shared" si="14"/>
        <v>0.15774240549474733</v>
      </c>
    </row>
    <row r="109" spans="1:10" x14ac:dyDescent="0.25">
      <c r="A109" s="1" t="s">
        <v>266</v>
      </c>
      <c r="B109" s="1">
        <f>B102-B104*$E$102</f>
        <v>0</v>
      </c>
      <c r="C109" s="1">
        <f t="shared" ref="C109:J109" si="15">C102-C104*$E$102</f>
        <v>1</v>
      </c>
      <c r="D109" s="1">
        <f t="shared" si="15"/>
        <v>0</v>
      </c>
      <c r="E109" s="1">
        <f t="shared" si="15"/>
        <v>0</v>
      </c>
      <c r="F109" s="48">
        <f t="shared" si="15"/>
        <v>-4.8560987191776553E-2</v>
      </c>
      <c r="G109" s="15">
        <f t="shared" si="15"/>
        <v>0.15086495426375796</v>
      </c>
      <c r="H109" s="15">
        <f t="shared" si="15"/>
        <v>-4.0786057640926507E-2</v>
      </c>
      <c r="I109" s="49">
        <f t="shared" si="15"/>
        <v>-5.7350419661545235E-2</v>
      </c>
      <c r="J109" s="1">
        <f t="shared" si="15"/>
        <v>-0.16002229073522498</v>
      </c>
    </row>
    <row r="110" spans="1:10" x14ac:dyDescent="0.25">
      <c r="B110" s="1">
        <f>B103-B104*$E$103</f>
        <v>0</v>
      </c>
      <c r="C110" s="1">
        <f t="shared" ref="C110:J110" si="16">C103-C104*$E$103</f>
        <v>0</v>
      </c>
      <c r="D110" s="1">
        <f t="shared" si="16"/>
        <v>1</v>
      </c>
      <c r="E110" s="1">
        <f t="shared" si="16"/>
        <v>0</v>
      </c>
      <c r="F110" s="48">
        <f t="shared" si="16"/>
        <v>3.7196158117388689E-2</v>
      </c>
      <c r="G110" s="15">
        <f t="shared" si="16"/>
        <v>5.7360143342195247E-2</v>
      </c>
      <c r="H110" s="15">
        <f t="shared" si="16"/>
        <v>6.1209728298367926E-2</v>
      </c>
      <c r="I110" s="49">
        <f t="shared" si="16"/>
        <v>-5.1605906761417082E-2</v>
      </c>
      <c r="J110" s="1">
        <f t="shared" si="16"/>
        <v>0.10642388716275322</v>
      </c>
    </row>
    <row r="111" spans="1:10" x14ac:dyDescent="0.25">
      <c r="B111" s="1">
        <v>0</v>
      </c>
      <c r="C111" s="1">
        <v>0</v>
      </c>
      <c r="D111" s="1">
        <v>0</v>
      </c>
      <c r="E111" s="1">
        <v>1</v>
      </c>
      <c r="F111" s="48">
        <v>2.5646374514024087E-2</v>
      </c>
      <c r="G111" s="15">
        <v>-7.9293472526835954E-2</v>
      </c>
      <c r="H111" s="15">
        <v>6.00951346280343E-2</v>
      </c>
      <c r="I111" s="49">
        <v>0.13510535294376261</v>
      </c>
      <c r="J111" s="1">
        <v>-6.320123349229341E-2</v>
      </c>
    </row>
    <row r="113" spans="1:7" x14ac:dyDescent="0.25">
      <c r="A113" s="1" t="s">
        <v>267</v>
      </c>
      <c r="B113" s="1" t="s">
        <v>257</v>
      </c>
      <c r="C113" s="1" t="s">
        <v>268</v>
      </c>
    </row>
    <row r="115" spans="1:7" ht="17.25" x14ac:dyDescent="0.25">
      <c r="B115" s="1" t="s">
        <v>271</v>
      </c>
      <c r="C115" s="1" t="s">
        <v>269</v>
      </c>
    </row>
    <row r="116" spans="1:7" ht="18" x14ac:dyDescent="0.25">
      <c r="B116" s="35" t="s">
        <v>270</v>
      </c>
      <c r="C116" s="1" t="s">
        <v>272</v>
      </c>
      <c r="D116" s="1">
        <v>0.15774240549474733</v>
      </c>
      <c r="E116" s="1" t="s">
        <v>159</v>
      </c>
      <c r="F116" s="1" t="s">
        <v>245</v>
      </c>
      <c r="G116" s="1">
        <v>0.15774240549474733</v>
      </c>
    </row>
    <row r="117" spans="1:7" ht="18" x14ac:dyDescent="0.25">
      <c r="D117" s="1">
        <v>-0.16002229073522498</v>
      </c>
      <c r="F117" s="1" t="s">
        <v>246</v>
      </c>
      <c r="G117" s="1">
        <v>-0.16002229073522498</v>
      </c>
    </row>
    <row r="118" spans="1:7" ht="18" x14ac:dyDescent="0.25">
      <c r="D118" s="1">
        <v>0.10642388716275322</v>
      </c>
      <c r="F118" s="1" t="s">
        <v>247</v>
      </c>
      <c r="G118" s="1">
        <v>0.10642388716275322</v>
      </c>
    </row>
    <row r="119" spans="1:7" ht="18" x14ac:dyDescent="0.25">
      <c r="D119" s="1">
        <v>-6.320123349229341E-2</v>
      </c>
      <c r="F119" s="1" t="s">
        <v>248</v>
      </c>
      <c r="G119" s="1">
        <v>-6.320123349229341E-2</v>
      </c>
    </row>
  </sheetData>
  <mergeCells count="13">
    <mergeCell ref="A50:E50"/>
    <mergeCell ref="B57:G57"/>
    <mergeCell ref="B64:G64"/>
    <mergeCell ref="B71:G71"/>
    <mergeCell ref="A1:G1"/>
    <mergeCell ref="A8:E8"/>
    <mergeCell ref="A37:E37"/>
    <mergeCell ref="D38:F38"/>
    <mergeCell ref="B78:G78"/>
    <mergeCell ref="B85:G85"/>
    <mergeCell ref="B92:G92"/>
    <mergeCell ref="B99:G99"/>
    <mergeCell ref="B106:G10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Prac 1,2</vt:lpstr>
      <vt:lpstr>Prac 3,4</vt:lpstr>
      <vt:lpstr>Prac 5</vt:lpstr>
      <vt:lpstr>Prac 6</vt:lpstr>
      <vt:lpstr>Prac 7,8</vt:lpstr>
      <vt:lpstr>Prac 9</vt:lpstr>
      <vt:lpstr>Prac 10</vt:lpstr>
      <vt:lpstr>Prac 11</vt:lpstr>
      <vt:lpstr>Prac 12</vt:lpstr>
      <vt:lpstr>Prac 13</vt:lpstr>
      <vt:lpstr>Prac 14</vt:lpstr>
      <vt:lpstr>Prac 15</vt:lpstr>
      <vt:lpstr>Prac 16</vt:lpstr>
      <vt:lpstr>Prac 17</vt:lpstr>
      <vt:lpstr>Prac 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</dc:creator>
  <cp:lastModifiedBy>AritraBiswas</cp:lastModifiedBy>
  <cp:lastPrinted>2015-03-30T09:10:51Z</cp:lastPrinted>
  <dcterms:created xsi:type="dcterms:W3CDTF">2015-01-15T08:55:13Z</dcterms:created>
  <dcterms:modified xsi:type="dcterms:W3CDTF">2016-05-08T06:07:40Z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bdd9efbe-84c9-4ad7-ad1f-b03ddaa1e270</vt:lpwstr>
  </property>
</Properties>
</file>