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wnloads\"/>
    </mc:Choice>
  </mc:AlternateContent>
  <xr:revisionPtr revIDLastSave="0" documentId="13_ncr:1_{B3BF54FA-2FFB-41A5-90C6-84F93FEFE1E4}" xr6:coauthVersionLast="47" xr6:coauthVersionMax="47" xr10:uidLastSave="{00000000-0000-0000-0000-000000000000}"/>
  <bookViews>
    <workbookView minimized="1" xWindow="1905" yWindow="1905" windowWidth="21600" windowHeight="11295" xr2:uid="{00000000-000D-0000-FFFF-FFFF00000000}"/>
  </bookViews>
  <sheets>
    <sheet name="Overview" sheetId="4" r:id="rId1"/>
  </sheets>
  <definedNames>
    <definedName name="_xlnm._FilterDatabase" localSheetId="0" hidden="1">Overview!$A$1:$P$1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" i="4" l="1"/>
  <c r="I33" i="4"/>
  <c r="M32" i="4"/>
  <c r="M31" i="4"/>
  <c r="I31" i="4"/>
  <c r="M30" i="4"/>
  <c r="I30" i="4"/>
  <c r="M29" i="4"/>
  <c r="I29" i="4"/>
  <c r="M28" i="4"/>
  <c r="I28" i="4"/>
  <c r="M27" i="4"/>
  <c r="I27" i="4"/>
  <c r="M26" i="4"/>
  <c r="I26" i="4"/>
  <c r="M25" i="4"/>
  <c r="I25" i="4"/>
  <c r="M24" i="4"/>
  <c r="I24" i="4"/>
  <c r="M23" i="4"/>
  <c r="I23" i="4"/>
  <c r="M22" i="4"/>
  <c r="I22" i="4"/>
  <c r="M21" i="4"/>
  <c r="I21" i="4"/>
  <c r="M20" i="4"/>
  <c r="I20" i="4"/>
  <c r="M19" i="4"/>
  <c r="I19" i="4"/>
  <c r="M18" i="4"/>
  <c r="I18" i="4"/>
  <c r="M17" i="4"/>
  <c r="I17" i="4"/>
  <c r="I16" i="4"/>
  <c r="M15" i="4"/>
  <c r="I15" i="4"/>
  <c r="M14" i="4"/>
  <c r="I14" i="4"/>
  <c r="M13" i="4"/>
  <c r="I13" i="4"/>
  <c r="M12" i="4"/>
  <c r="I12" i="4"/>
  <c r="M11" i="4"/>
  <c r="I11" i="4"/>
  <c r="M10" i="4"/>
  <c r="I10" i="4"/>
  <c r="M9" i="4"/>
  <c r="I9" i="4"/>
  <c r="M8" i="4"/>
  <c r="I8" i="4"/>
  <c r="M7" i="4"/>
  <c r="I7" i="4"/>
  <c r="M6" i="4"/>
  <c r="I6" i="4"/>
  <c r="I5" i="4"/>
  <c r="I4" i="4"/>
  <c r="I3" i="4"/>
  <c r="I2" i="4"/>
  <c r="I36" i="4"/>
  <c r="M36" i="4"/>
  <c r="I37" i="4"/>
  <c r="M37" i="4"/>
  <c r="I38" i="4"/>
  <c r="M38" i="4"/>
  <c r="I39" i="4"/>
  <c r="M39" i="4"/>
  <c r="I40" i="4"/>
  <c r="M40" i="4"/>
  <c r="I41" i="4"/>
  <c r="M41" i="4"/>
  <c r="I42" i="4"/>
  <c r="M42" i="4"/>
  <c r="I43" i="4"/>
  <c r="M43" i="4"/>
  <c r="I44" i="4"/>
  <c r="M44" i="4"/>
  <c r="I45" i="4"/>
  <c r="M45" i="4"/>
  <c r="I46" i="4"/>
  <c r="M46" i="4"/>
  <c r="I47" i="4"/>
  <c r="M47" i="4"/>
  <c r="I48" i="4"/>
  <c r="M48" i="4"/>
  <c r="I49" i="4"/>
  <c r="M49" i="4"/>
  <c r="I50" i="4"/>
  <c r="M50" i="4"/>
  <c r="I51" i="4"/>
  <c r="M51" i="4"/>
  <c r="I52" i="4"/>
  <c r="M52" i="4"/>
  <c r="I53" i="4"/>
  <c r="M53" i="4"/>
  <c r="I54" i="4"/>
  <c r="M54" i="4"/>
  <c r="I55" i="4"/>
  <c r="M55" i="4"/>
  <c r="I56" i="4"/>
  <c r="M56" i="4"/>
  <c r="I57" i="4"/>
  <c r="M57" i="4"/>
  <c r="I58" i="4"/>
  <c r="M58" i="4"/>
  <c r="I59" i="4"/>
  <c r="M59" i="4"/>
  <c r="I60" i="4"/>
  <c r="M60" i="4"/>
  <c r="I61" i="4"/>
  <c r="M61" i="4"/>
  <c r="I62" i="4"/>
  <c r="M62" i="4"/>
  <c r="I63" i="4"/>
  <c r="M63" i="4"/>
  <c r="I64" i="4"/>
  <c r="M64" i="4"/>
  <c r="I65" i="4"/>
  <c r="M65" i="4"/>
  <c r="I73" i="4" l="1"/>
  <c r="I72" i="4"/>
  <c r="I71" i="4"/>
  <c r="I70" i="4"/>
  <c r="I69" i="4"/>
  <c r="I68" i="4"/>
  <c r="I67" i="4"/>
  <c r="I66" i="4"/>
  <c r="M67" i="4" l="1"/>
  <c r="M73" i="4"/>
  <c r="M71" i="4"/>
  <c r="M66" i="4"/>
  <c r="M69" i="4"/>
  <c r="M68" i="4"/>
  <c r="M72" i="4"/>
  <c r="M70" i="4"/>
</calcChain>
</file>

<file path=xl/sharedStrings.xml><?xml version="1.0" encoding="utf-8"?>
<sst xmlns="http://schemas.openxmlformats.org/spreadsheetml/2006/main" count="391" uniqueCount="187">
  <si>
    <t>Date</t>
  </si>
  <si>
    <t>2019_12_09_18-16-14</t>
  </si>
  <si>
    <t>2019_12_09_07-58-11</t>
  </si>
  <si>
    <t>2020-01-02_13-45-21</t>
  </si>
  <si>
    <t>2020-01-03_10-50-36</t>
  </si>
  <si>
    <t>+70 kg</t>
  </si>
  <si>
    <t>2020-01-03_11-36-24</t>
  </si>
  <si>
    <t>2020-01-03_12-16-10</t>
  </si>
  <si>
    <t>2020-01-03_13-23-24</t>
  </si>
  <si>
    <t>2020-01-05_11-08-25</t>
  </si>
  <si>
    <t>+70kg</t>
  </si>
  <si>
    <t>2020-01-07_10-02-47</t>
  </si>
  <si>
    <t>2020-01-07_10-33-19</t>
  </si>
  <si>
    <t>2020-01-07_10-58-55</t>
  </si>
  <si>
    <t>2020-01-08_17-43-26</t>
  </si>
  <si>
    <t>2020-01-09_08-29-07</t>
  </si>
  <si>
    <t>2020-01-09_17-21-44</t>
  </si>
  <si>
    <t>2020-01-10_08-07-33</t>
  </si>
  <si>
    <t>2020-01-10_16-42-46</t>
  </si>
  <si>
    <t>2020-01-11_12-52-38</t>
  </si>
  <si>
    <t>2020-01-11_14-29-56</t>
  </si>
  <si>
    <t>2020-01-11_14-55-27</t>
  </si>
  <si>
    <t>2020-01-11_15-24-57</t>
  </si>
  <si>
    <t>+80 kg</t>
  </si>
  <si>
    <t xml:space="preserve">+60 kg </t>
  </si>
  <si>
    <t xml:space="preserve">+70 kg </t>
  </si>
  <si>
    <t>2020-01-12_11-12-56</t>
  </si>
  <si>
    <t>2020-01-12_11-37-29</t>
  </si>
  <si>
    <t>2020-01-13_07-53-37</t>
  </si>
  <si>
    <t>2020-01-12_12-33-29</t>
  </si>
  <si>
    <t>2019-12-10_09-35-46</t>
  </si>
  <si>
    <t>2019-12-07_12-35-00</t>
  </si>
  <si>
    <t>2019-12-07_17-49-35</t>
  </si>
  <si>
    <t>2020-01-13_17-31-04</t>
  </si>
  <si>
    <t>2020-01-14_09-47-42</t>
  </si>
  <si>
    <t>2020-01-14_17-59-06</t>
  </si>
  <si>
    <t>2020-01-14_11-44-28</t>
  </si>
  <si>
    <t>+ 160 kg</t>
  </si>
  <si>
    <t>2020-01-14_12-55-08</t>
  </si>
  <si>
    <t>2020-01-15_10-43-44</t>
  </si>
  <si>
    <t>2020-01-21_09-15-20</t>
  </si>
  <si>
    <t>2020-02-07_09-32-02</t>
  </si>
  <si>
    <t>2019-12-17_07-21-04</t>
  </si>
  <si>
    <t>Trip</t>
  </si>
  <si>
    <t>2019_12_08_09-38-26</t>
  </si>
  <si>
    <t>2019_12_08_13-47-18</t>
  </si>
  <si>
    <t>Weather</t>
  </si>
  <si>
    <t>Target Cabin Temperature</t>
  </si>
  <si>
    <t>Duration [min]</t>
  </si>
  <si>
    <t>Fan</t>
  </si>
  <si>
    <t>Automatic, Level 1</t>
  </si>
  <si>
    <t>Automatic, Level 1 (screen defrost for the first 2 min)</t>
  </si>
  <si>
    <t>Note</t>
  </si>
  <si>
    <t>Sunday -&gt; little traffic</t>
  </si>
  <si>
    <t>Rush Hour</t>
  </si>
  <si>
    <t>Open door at 37:10 and 42:00 for 30s</t>
  </si>
  <si>
    <t>FTMRoute</t>
  </si>
  <si>
    <t>Fast Charging, '+70 kg</t>
  </si>
  <si>
    <t>FTMRoute (2x)</t>
  </si>
  <si>
    <t>Munich North + Fast Charging</t>
  </si>
  <si>
    <t>Munich North</t>
  </si>
  <si>
    <t>Munich Northeast</t>
  </si>
  <si>
    <t>Munich South</t>
  </si>
  <si>
    <t>Highway</t>
  </si>
  <si>
    <t>Route/Area</t>
  </si>
  <si>
    <t>Munich East</t>
  </si>
  <si>
    <t>FTMRoute reverse</t>
  </si>
  <si>
    <t>cloudy</t>
  </si>
  <si>
    <t>sunny</t>
  </si>
  <si>
    <t>dark</t>
  </si>
  <si>
    <t>sunrise</t>
  </si>
  <si>
    <t>sunset</t>
  </si>
  <si>
    <t>Battery Temperature (Start) [°C]</t>
  </si>
  <si>
    <t>Ambient Temperature (Start) [°C]</t>
  </si>
  <si>
    <t>Battery State of Charge (Start)</t>
  </si>
  <si>
    <t>Battery State of Charge (End)</t>
  </si>
  <si>
    <t>Battery Temperature (End)</t>
  </si>
  <si>
    <t>FTMRoute (directly after previous trip)</t>
  </si>
  <si>
    <t>FTM Route (directly after previous trip)</t>
  </si>
  <si>
    <t>Sunday -&gt; little traffic, (directly after previous trip)</t>
  </si>
  <si>
    <t>14.82</t>
  </si>
  <si>
    <t>TripA01</t>
  </si>
  <si>
    <t>TripA02</t>
  </si>
  <si>
    <t>TripB01</t>
  </si>
  <si>
    <t>TripB02</t>
  </si>
  <si>
    <t>TripB03</t>
  </si>
  <si>
    <t>TripB04</t>
  </si>
  <si>
    <t>TripB05</t>
  </si>
  <si>
    <t>TripB06</t>
  </si>
  <si>
    <t>TripB07</t>
  </si>
  <si>
    <t>TripB08</t>
  </si>
  <si>
    <t>TripB09</t>
  </si>
  <si>
    <t>TripB10</t>
  </si>
  <si>
    <t>TripB11</t>
  </si>
  <si>
    <t>TripB12</t>
  </si>
  <si>
    <t>TripB13</t>
  </si>
  <si>
    <t>TripB14</t>
  </si>
  <si>
    <t>TripB15</t>
  </si>
  <si>
    <t>TripB16</t>
  </si>
  <si>
    <t>TripB17</t>
  </si>
  <si>
    <t>TripB18</t>
  </si>
  <si>
    <t>TripB19</t>
  </si>
  <si>
    <t>TripB20</t>
  </si>
  <si>
    <t>TripB21</t>
  </si>
  <si>
    <t>TripB22</t>
  </si>
  <si>
    <t>TripB23</t>
  </si>
  <si>
    <t>TripB24</t>
  </si>
  <si>
    <t>TripB25</t>
  </si>
  <si>
    <t>TripB26</t>
  </si>
  <si>
    <t>TripB27</t>
  </si>
  <si>
    <t>TripB28</t>
  </si>
  <si>
    <t>TripB29</t>
  </si>
  <si>
    <t>TripB30</t>
  </si>
  <si>
    <t>TripB31</t>
  </si>
  <si>
    <t>TripB32</t>
  </si>
  <si>
    <t>TripB33</t>
  </si>
  <si>
    <t>TripB34</t>
  </si>
  <si>
    <t>TripB35</t>
  </si>
  <si>
    <t>TripB36</t>
  </si>
  <si>
    <t>TripB37</t>
  </si>
  <si>
    <t>TripB38</t>
  </si>
  <si>
    <t>2019-06-25_13-21-14</t>
  </si>
  <si>
    <t>2019-06-25_14-05-31</t>
  </si>
  <si>
    <t>TripA03</t>
  </si>
  <si>
    <t>2019-06-28_10-02-15</t>
  </si>
  <si>
    <t>TripA04</t>
  </si>
  <si>
    <t>2019-06-28_10-13-30</t>
  </si>
  <si>
    <t>TripA05</t>
  </si>
  <si>
    <t>2019-06-28_10-20-26</t>
  </si>
  <si>
    <t>TripA06</t>
  </si>
  <si>
    <t>2019-07-01_09-05-25</t>
  </si>
  <si>
    <t>TripA07</t>
  </si>
  <si>
    <t>2019-07-01_12-59-48</t>
  </si>
  <si>
    <t>TripA08</t>
  </si>
  <si>
    <t>2019-07-02_17-36-31</t>
  </si>
  <si>
    <t>TripA09</t>
  </si>
  <si>
    <t>2019-07-03_08-05-00</t>
  </si>
  <si>
    <t>TripA10</t>
  </si>
  <si>
    <t>2019-07-03_12-16-12</t>
  </si>
  <si>
    <t>TripA11</t>
  </si>
  <si>
    <t>2019-07-04_15-09-22</t>
  </si>
  <si>
    <t>TripA12</t>
  </si>
  <si>
    <t>2019-07-04_15-51-48</t>
  </si>
  <si>
    <t>TripA13</t>
  </si>
  <si>
    <t>2019-07-05_09-02-55</t>
  </si>
  <si>
    <t>TripA14</t>
  </si>
  <si>
    <t>2019-07-05_09-18-22</t>
  </si>
  <si>
    <t>TripA15</t>
  </si>
  <si>
    <t>2019-07-08_12-19-56</t>
  </si>
  <si>
    <t>TripA16</t>
  </si>
  <si>
    <t>2019-07-08_13-17-32</t>
  </si>
  <si>
    <t>TripA17</t>
  </si>
  <si>
    <t>2019-07-09_09-37-58</t>
  </si>
  <si>
    <t>TripA18</t>
  </si>
  <si>
    <t>2019-07-09_09-49-09</t>
  </si>
  <si>
    <t>TripA19</t>
  </si>
  <si>
    <t>2019-07-09_17-48-14</t>
  </si>
  <si>
    <t>TripA20</t>
  </si>
  <si>
    <t>2019-07-10_08-07-22</t>
  </si>
  <si>
    <t>TripA21</t>
  </si>
  <si>
    <t>2019-07-10_16-40-57</t>
  </si>
  <si>
    <t>TripA22</t>
  </si>
  <si>
    <t>2019-07-11_07-48-28</t>
  </si>
  <si>
    <t>TripA23</t>
  </si>
  <si>
    <t>2019-07-12_10-41-36</t>
  </si>
  <si>
    <t>TripA24</t>
  </si>
  <si>
    <t>2019-07-12_11-08-00</t>
  </si>
  <si>
    <t>TripA25</t>
  </si>
  <si>
    <t>2019-07-12_10-59-05</t>
  </si>
  <si>
    <t>TripA26</t>
  </si>
  <si>
    <t>2019-07-15_13-08-25</t>
  </si>
  <si>
    <t>TripA27</t>
  </si>
  <si>
    <t>2019-07-15_13-45-10</t>
  </si>
  <si>
    <t>TripA28</t>
  </si>
  <si>
    <t>2019-07-16_10-31-30</t>
  </si>
  <si>
    <t>TripA29</t>
  </si>
  <si>
    <t>2019-07-16_11-10-00</t>
  </si>
  <si>
    <t>TripA30</t>
  </si>
  <si>
    <t>2019-07-19_09-34-23</t>
  </si>
  <si>
    <t>TripA31</t>
  </si>
  <si>
    <t>TripA32</t>
  </si>
  <si>
    <t>2019-07-22_12-56-55</t>
  </si>
  <si>
    <t>Distance [km]</t>
  </si>
  <si>
    <t xml:space="preserve">Target Cabin Temperature changed </t>
  </si>
  <si>
    <t>slightly cloudy</t>
  </si>
  <si>
    <t>rainy</t>
  </si>
  <si>
    <t>dark, little rainy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</si>
</sst>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quotePrefix="1" applyFont="1"/>
    <xf numFmtId="14" fontId="1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4" fillId="0" borderId="0" xfId="0" applyFont="1"/>
    <xf numFmtId="2" fontId="4" fillId="0" borderId="0" xfId="0" applyNumberFormat="1" applyFont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0675-8080-5D40-9252-9DD9145BD21F}">
  <dimension ref="A1:P74"/>
  <sheetViews>
    <sheetView tabSelected="1" topLeftCell="B1" workbookViewId="0">
      <pane ySplit="1" topLeftCell="A2" activePane="bottomLeft" state="frozen"/>
      <selection pane="bottomLeft" activeCell="E1" sqref="E1:E1048576"/>
    </sheetView>
  </sheetViews>
  <sheetFormatPr defaultColWidth="11.42578125" defaultRowHeight="15" x14ac:dyDescent="0.25"/>
  <cols>
    <col min="1" max="1" width="14" customWidth="1"/>
    <col min="2" max="2" width="21.85546875" customWidth="1"/>
    <col min="3" max="3" width="42.28515625" customWidth="1"/>
    <col min="4" max="11" width="13.7109375" customWidth="1"/>
    <col min="12" max="13" width="13.7109375" style="2" customWidth="1"/>
    <col min="14" max="14" width="19.85546875" style="2" customWidth="1"/>
    <col min="15" max="15" width="34.140625" customWidth="1"/>
    <col min="16" max="16" width="58.85546875" customWidth="1"/>
  </cols>
  <sheetData>
    <row r="1" spans="1:16" s="15" customFormat="1" x14ac:dyDescent="0.25">
      <c r="A1" s="13" t="s">
        <v>43</v>
      </c>
      <c r="B1" s="13" t="s">
        <v>0</v>
      </c>
      <c r="C1" s="13" t="s">
        <v>64</v>
      </c>
      <c r="D1" s="13" t="s">
        <v>46</v>
      </c>
      <c r="E1" s="13" t="s">
        <v>72</v>
      </c>
      <c r="F1" s="13" t="s">
        <v>76</v>
      </c>
      <c r="G1" s="13" t="s">
        <v>74</v>
      </c>
      <c r="H1" s="13" t="s">
        <v>75</v>
      </c>
      <c r="I1" s="13"/>
      <c r="J1" s="13" t="s">
        <v>73</v>
      </c>
      <c r="K1" s="13" t="s">
        <v>47</v>
      </c>
      <c r="L1" s="14" t="s">
        <v>182</v>
      </c>
      <c r="M1" s="14" t="s">
        <v>48</v>
      </c>
      <c r="N1" s="14"/>
      <c r="O1" s="13" t="s">
        <v>49</v>
      </c>
      <c r="P1" s="13" t="s">
        <v>52</v>
      </c>
    </row>
    <row r="2" spans="1:16" x14ac:dyDescent="0.25">
      <c r="A2" s="1" t="s">
        <v>81</v>
      </c>
      <c r="B2" s="8" t="s">
        <v>121</v>
      </c>
      <c r="C2" t="s">
        <v>65</v>
      </c>
      <c r="D2" t="s">
        <v>68</v>
      </c>
      <c r="E2" s="16">
        <v>21</v>
      </c>
      <c r="F2" s="16">
        <v>22</v>
      </c>
      <c r="G2" s="4">
        <v>0.86299999999999999</v>
      </c>
      <c r="H2" s="9">
        <v>0.80300000000000005</v>
      </c>
      <c r="I2" s="4">
        <f t="shared" ref="I2:I33" si="0">G2-H2</f>
        <v>5.9999999999999942E-2</v>
      </c>
      <c r="J2" s="16">
        <v>25.5</v>
      </c>
      <c r="K2" s="16">
        <v>23</v>
      </c>
      <c r="L2" s="2">
        <v>7.4276897222222198</v>
      </c>
      <c r="M2" s="2">
        <v>16.82</v>
      </c>
      <c r="O2" s="10" t="s">
        <v>50</v>
      </c>
      <c r="P2" s="1"/>
    </row>
    <row r="3" spans="1:16" x14ac:dyDescent="0.25">
      <c r="A3" s="1" t="s">
        <v>82</v>
      </c>
      <c r="B3" s="10" t="s">
        <v>122</v>
      </c>
      <c r="C3" s="1" t="s">
        <v>65</v>
      </c>
      <c r="D3" s="1" t="s">
        <v>68</v>
      </c>
      <c r="E3" s="11">
        <v>23</v>
      </c>
      <c r="F3" s="11">
        <v>26</v>
      </c>
      <c r="G3" s="4">
        <v>0.80300000000000005</v>
      </c>
      <c r="H3" s="4">
        <v>0.67300000000000004</v>
      </c>
      <c r="I3" s="4">
        <f t="shared" si="0"/>
        <v>0.13</v>
      </c>
      <c r="J3" s="11">
        <v>32</v>
      </c>
      <c r="K3" s="11">
        <v>23</v>
      </c>
      <c r="L3" s="3">
        <v>23.509709166666699</v>
      </c>
      <c r="M3" s="5">
        <v>23.55</v>
      </c>
      <c r="N3" s="5"/>
      <c r="O3" s="10" t="s">
        <v>50</v>
      </c>
      <c r="P3" t="s">
        <v>183</v>
      </c>
    </row>
    <row r="4" spans="1:16" x14ac:dyDescent="0.25">
      <c r="A4" s="1" t="s">
        <v>123</v>
      </c>
      <c r="B4" s="10" t="s">
        <v>124</v>
      </c>
      <c r="C4" s="1" t="s">
        <v>65</v>
      </c>
      <c r="D4" s="1" t="s">
        <v>68</v>
      </c>
      <c r="E4" s="11">
        <v>24</v>
      </c>
      <c r="F4" s="11">
        <v>25</v>
      </c>
      <c r="G4" s="4">
        <v>0.83499999999999996</v>
      </c>
      <c r="H4" s="4">
        <v>0.751</v>
      </c>
      <c r="I4" s="4">
        <f t="shared" si="0"/>
        <v>8.3999999999999964E-2</v>
      </c>
      <c r="J4" s="11">
        <v>21.5</v>
      </c>
      <c r="K4" s="11">
        <v>27</v>
      </c>
      <c r="L4" s="3">
        <v>12.8208461111111</v>
      </c>
      <c r="M4" s="3">
        <v>11.18</v>
      </c>
      <c r="N4" s="3"/>
      <c r="O4" s="10" t="s">
        <v>50</v>
      </c>
      <c r="P4" t="s">
        <v>183</v>
      </c>
    </row>
    <row r="5" spans="1:16" x14ac:dyDescent="0.25">
      <c r="A5" s="1" t="s">
        <v>125</v>
      </c>
      <c r="B5" s="10" t="s">
        <v>126</v>
      </c>
      <c r="C5" s="1" t="s">
        <v>65</v>
      </c>
      <c r="D5" s="1" t="s">
        <v>68</v>
      </c>
      <c r="E5" s="11">
        <v>25</v>
      </c>
      <c r="F5" s="11">
        <v>27</v>
      </c>
      <c r="G5" s="4">
        <v>0.751</v>
      </c>
      <c r="H5" s="9">
        <v>0.66700000000000004</v>
      </c>
      <c r="I5" s="4">
        <f t="shared" si="0"/>
        <v>8.3999999999999964E-2</v>
      </c>
      <c r="J5" s="11">
        <v>24</v>
      </c>
      <c r="K5" s="11">
        <v>22</v>
      </c>
      <c r="L5" s="5">
        <v>10.7274913888889</v>
      </c>
      <c r="M5" s="5">
        <v>6.87</v>
      </c>
      <c r="N5" s="5"/>
      <c r="O5" s="10" t="s">
        <v>50</v>
      </c>
    </row>
    <row r="6" spans="1:16" x14ac:dyDescent="0.25">
      <c r="A6" s="1" t="s">
        <v>127</v>
      </c>
      <c r="B6" s="10" t="s">
        <v>128</v>
      </c>
      <c r="C6" s="1" t="s">
        <v>65</v>
      </c>
      <c r="D6" s="1" t="s">
        <v>68</v>
      </c>
      <c r="E6" s="11">
        <v>27</v>
      </c>
      <c r="F6" s="11">
        <v>27</v>
      </c>
      <c r="G6" s="4">
        <v>0.66700000000000004</v>
      </c>
      <c r="H6" s="4">
        <v>0.60199999999999998</v>
      </c>
      <c r="I6" s="4">
        <f t="shared" si="0"/>
        <v>6.5000000000000058E-2</v>
      </c>
      <c r="J6" s="11">
        <v>24.5</v>
      </c>
      <c r="K6" s="11">
        <v>24</v>
      </c>
      <c r="L6" s="5">
        <v>12.3932234722222</v>
      </c>
      <c r="M6" s="5">
        <f>1366.6/60</f>
        <v>22.776666666666664</v>
      </c>
      <c r="N6" s="5"/>
      <c r="O6" s="10" t="s">
        <v>50</v>
      </c>
    </row>
    <row r="7" spans="1:16" x14ac:dyDescent="0.25">
      <c r="A7" s="1" t="s">
        <v>129</v>
      </c>
      <c r="B7" s="10" t="s">
        <v>130</v>
      </c>
      <c r="C7" s="1" t="s">
        <v>60</v>
      </c>
      <c r="D7" s="1" t="s">
        <v>68</v>
      </c>
      <c r="E7" s="11">
        <v>25</v>
      </c>
      <c r="F7" s="11">
        <v>28</v>
      </c>
      <c r="G7" s="4">
        <v>0.85099999999999998</v>
      </c>
      <c r="H7" s="4">
        <v>0.63400000000000001</v>
      </c>
      <c r="I7" s="4">
        <f t="shared" si="0"/>
        <v>0.21699999999999997</v>
      </c>
      <c r="J7" s="11">
        <v>26.5</v>
      </c>
      <c r="K7" s="11">
        <v>26</v>
      </c>
      <c r="L7" s="5">
        <v>45.993460555555501</v>
      </c>
      <c r="M7" s="5">
        <f>3164.4/60</f>
        <v>52.74</v>
      </c>
      <c r="N7" s="5"/>
      <c r="O7" s="10" t="s">
        <v>50</v>
      </c>
      <c r="P7" t="s">
        <v>183</v>
      </c>
    </row>
    <row r="8" spans="1:16" x14ac:dyDescent="0.25">
      <c r="A8" s="1" t="s">
        <v>131</v>
      </c>
      <c r="B8" s="10" t="s">
        <v>132</v>
      </c>
      <c r="C8" s="1" t="s">
        <v>60</v>
      </c>
      <c r="D8" s="1" t="s">
        <v>68</v>
      </c>
      <c r="E8" s="11">
        <v>30</v>
      </c>
      <c r="F8" s="11">
        <v>30</v>
      </c>
      <c r="G8" s="4">
        <v>0.63400000000000001</v>
      </c>
      <c r="H8" s="9">
        <v>0.34200000000000003</v>
      </c>
      <c r="I8" s="4">
        <f t="shared" si="0"/>
        <v>0.29199999999999998</v>
      </c>
      <c r="J8" s="11">
        <v>33.5</v>
      </c>
      <c r="K8" s="11">
        <v>25</v>
      </c>
      <c r="L8" s="5">
        <v>44.335915833333303</v>
      </c>
      <c r="M8" s="5">
        <f>2093.2/60</f>
        <v>34.886666666666663</v>
      </c>
      <c r="N8" s="5"/>
      <c r="O8" s="10" t="s">
        <v>50</v>
      </c>
    </row>
    <row r="9" spans="1:16" x14ac:dyDescent="0.25">
      <c r="A9" s="1" t="s">
        <v>133</v>
      </c>
      <c r="B9" s="10" t="s">
        <v>134</v>
      </c>
      <c r="C9" t="s">
        <v>65</v>
      </c>
      <c r="D9" s="1" t="s">
        <v>184</v>
      </c>
      <c r="E9" s="11">
        <v>26</v>
      </c>
      <c r="F9" s="11">
        <v>27</v>
      </c>
      <c r="G9" s="4">
        <v>0.86599999999999999</v>
      </c>
      <c r="H9" s="4">
        <v>0.76100000000000001</v>
      </c>
      <c r="I9" s="4">
        <f t="shared" si="0"/>
        <v>0.10499999999999998</v>
      </c>
      <c r="J9" s="11">
        <v>27</v>
      </c>
      <c r="K9" s="11">
        <v>25</v>
      </c>
      <c r="L9" s="3">
        <v>18.228626805555599</v>
      </c>
      <c r="M9" s="5">
        <f>2805.8/60</f>
        <v>46.763333333333335</v>
      </c>
      <c r="N9" s="5"/>
      <c r="O9" s="10" t="s">
        <v>50</v>
      </c>
    </row>
    <row r="10" spans="1:16" x14ac:dyDescent="0.25">
      <c r="A10" s="1" t="s">
        <v>135</v>
      </c>
      <c r="B10" s="10" t="s">
        <v>136</v>
      </c>
      <c r="C10" s="1" t="s">
        <v>65</v>
      </c>
      <c r="D10" s="1" t="s">
        <v>184</v>
      </c>
      <c r="E10" s="11">
        <v>22</v>
      </c>
      <c r="F10" s="11">
        <v>22</v>
      </c>
      <c r="G10" s="4">
        <v>0.747</v>
      </c>
      <c r="H10" s="4">
        <v>0.68600000000000005</v>
      </c>
      <c r="I10" s="4">
        <f t="shared" si="0"/>
        <v>6.0999999999999943E-2</v>
      </c>
      <c r="J10" s="11">
        <v>17.5</v>
      </c>
      <c r="K10" s="11">
        <v>21</v>
      </c>
      <c r="L10" s="3">
        <v>11.661271944444399</v>
      </c>
      <c r="M10" s="5">
        <f>1834.3/60</f>
        <v>30.571666666666665</v>
      </c>
      <c r="N10" s="5"/>
      <c r="O10" s="10" t="s">
        <v>50</v>
      </c>
    </row>
    <row r="11" spans="1:16" x14ac:dyDescent="0.25">
      <c r="A11" s="1" t="s">
        <v>137</v>
      </c>
      <c r="B11" s="10" t="s">
        <v>138</v>
      </c>
      <c r="C11" s="1" t="s">
        <v>65</v>
      </c>
      <c r="D11" s="1" t="s">
        <v>184</v>
      </c>
      <c r="E11" s="11">
        <v>22</v>
      </c>
      <c r="F11" s="11">
        <v>23</v>
      </c>
      <c r="G11" s="4">
        <v>0.69599999999999995</v>
      </c>
      <c r="H11" s="9">
        <v>0.60899999999999999</v>
      </c>
      <c r="I11" s="4">
        <f t="shared" si="0"/>
        <v>8.6999999999999966E-2</v>
      </c>
      <c r="J11" s="11">
        <v>22.5</v>
      </c>
      <c r="K11" s="16">
        <v>25</v>
      </c>
      <c r="L11" s="3">
        <v>16.2460069444444</v>
      </c>
      <c r="M11" s="5">
        <f>1417.5/60</f>
        <v>23.625</v>
      </c>
      <c r="N11" s="5"/>
      <c r="O11" s="10" t="s">
        <v>50</v>
      </c>
    </row>
    <row r="12" spans="1:16" x14ac:dyDescent="0.25">
      <c r="A12" s="1" t="s">
        <v>139</v>
      </c>
      <c r="B12" s="10" t="s">
        <v>140</v>
      </c>
      <c r="C12" s="1" t="s">
        <v>65</v>
      </c>
      <c r="D12" s="1" t="s">
        <v>68</v>
      </c>
      <c r="E12" s="11">
        <v>26</v>
      </c>
      <c r="F12" s="11">
        <v>27</v>
      </c>
      <c r="G12" s="4">
        <v>0.87</v>
      </c>
      <c r="H12" s="4">
        <v>0.75600000000000001</v>
      </c>
      <c r="I12" s="4">
        <f t="shared" si="0"/>
        <v>0.11399999999999999</v>
      </c>
      <c r="J12" s="11">
        <v>30</v>
      </c>
      <c r="K12" s="11">
        <v>30</v>
      </c>
      <c r="L12" s="3">
        <v>17.731756805555602</v>
      </c>
      <c r="M12" s="5">
        <f>1424.4/60</f>
        <v>23.740000000000002</v>
      </c>
      <c r="N12" s="5"/>
      <c r="O12" s="10" t="s">
        <v>50</v>
      </c>
    </row>
    <row r="13" spans="1:16" x14ac:dyDescent="0.25">
      <c r="A13" s="1" t="s">
        <v>141</v>
      </c>
      <c r="B13" s="10" t="s">
        <v>142</v>
      </c>
      <c r="C13" s="1" t="s">
        <v>65</v>
      </c>
      <c r="D13" s="10" t="s">
        <v>68</v>
      </c>
      <c r="E13" s="11">
        <v>28</v>
      </c>
      <c r="F13" s="11">
        <v>30</v>
      </c>
      <c r="G13" s="4">
        <v>0.755</v>
      </c>
      <c r="H13" s="4">
        <v>0.64300000000000002</v>
      </c>
      <c r="I13" s="4">
        <f t="shared" si="0"/>
        <v>0.11199999999999999</v>
      </c>
      <c r="J13" s="11">
        <v>26.5</v>
      </c>
      <c r="K13" s="11">
        <v>25</v>
      </c>
      <c r="L13" s="3">
        <v>18.653903055555599</v>
      </c>
      <c r="M13" s="5">
        <f>1638.3/60</f>
        <v>27.305</v>
      </c>
      <c r="N13" s="5"/>
      <c r="O13" s="10" t="s">
        <v>50</v>
      </c>
    </row>
    <row r="14" spans="1:16" x14ac:dyDescent="0.25">
      <c r="A14" s="1" t="s">
        <v>143</v>
      </c>
      <c r="B14" s="10" t="s">
        <v>144</v>
      </c>
      <c r="C14" t="s">
        <v>65</v>
      </c>
      <c r="D14" s="10" t="s">
        <v>68</v>
      </c>
      <c r="E14" s="11">
        <v>22</v>
      </c>
      <c r="F14" s="11">
        <v>22</v>
      </c>
      <c r="G14" s="4">
        <v>0.85499999999999998</v>
      </c>
      <c r="H14" s="9">
        <v>0.82899999999999996</v>
      </c>
      <c r="I14" s="4">
        <f t="shared" si="0"/>
        <v>2.6000000000000023E-2</v>
      </c>
      <c r="J14" s="11">
        <v>21</v>
      </c>
      <c r="K14" s="11">
        <v>23</v>
      </c>
      <c r="L14" s="3">
        <v>4.5729855555555599</v>
      </c>
      <c r="M14" s="5">
        <f>715.9/60</f>
        <v>11.931666666666667</v>
      </c>
      <c r="N14" s="5"/>
      <c r="O14" s="10" t="s">
        <v>50</v>
      </c>
    </row>
    <row r="15" spans="1:16" x14ac:dyDescent="0.25">
      <c r="A15" s="1" t="s">
        <v>145</v>
      </c>
      <c r="B15" s="10" t="s">
        <v>146</v>
      </c>
      <c r="C15" s="1" t="s">
        <v>65</v>
      </c>
      <c r="D15" s="10" t="s">
        <v>68</v>
      </c>
      <c r="E15" s="11">
        <v>22</v>
      </c>
      <c r="F15" s="11">
        <v>22</v>
      </c>
      <c r="G15" s="4">
        <v>0.82799999999999996</v>
      </c>
      <c r="H15" s="4">
        <v>0.79900000000000004</v>
      </c>
      <c r="I15" s="4">
        <f t="shared" si="0"/>
        <v>2.8999999999999915E-2</v>
      </c>
      <c r="J15" s="11">
        <v>24.5</v>
      </c>
      <c r="K15" s="11">
        <v>22</v>
      </c>
      <c r="L15" s="3">
        <v>4.9297630555555596</v>
      </c>
      <c r="M15" s="5">
        <f>694.5/60</f>
        <v>11.574999999999999</v>
      </c>
      <c r="N15" s="5"/>
      <c r="O15" s="10" t="s">
        <v>50</v>
      </c>
    </row>
    <row r="16" spans="1:16" x14ac:dyDescent="0.25">
      <c r="A16" s="1" t="s">
        <v>147</v>
      </c>
      <c r="B16" s="10" t="s">
        <v>148</v>
      </c>
      <c r="C16" s="1" t="s">
        <v>65</v>
      </c>
      <c r="D16" s="10" t="s">
        <v>185</v>
      </c>
      <c r="E16" s="11">
        <v>17</v>
      </c>
      <c r="F16" s="11">
        <v>19</v>
      </c>
      <c r="G16" s="4">
        <v>0.748</v>
      </c>
      <c r="H16" s="4">
        <v>0.63400000000000001</v>
      </c>
      <c r="I16" s="4">
        <f t="shared" si="0"/>
        <v>0.11399999999999999</v>
      </c>
      <c r="J16" s="11">
        <v>19</v>
      </c>
      <c r="K16" s="11">
        <v>23</v>
      </c>
      <c r="L16" s="3">
        <v>26.973501250000002</v>
      </c>
      <c r="M16" s="5">
        <v>37.229999999999997</v>
      </c>
      <c r="N16" s="5"/>
      <c r="O16" s="10" t="s">
        <v>50</v>
      </c>
    </row>
    <row r="17" spans="1:16" x14ac:dyDescent="0.25">
      <c r="A17" s="1" t="s">
        <v>149</v>
      </c>
      <c r="B17" s="10" t="s">
        <v>150</v>
      </c>
      <c r="C17" s="1" t="s">
        <v>65</v>
      </c>
      <c r="D17" s="10" t="s">
        <v>185</v>
      </c>
      <c r="E17" s="11">
        <v>19</v>
      </c>
      <c r="F17" s="11">
        <v>19</v>
      </c>
      <c r="G17" s="4">
        <v>0.63</v>
      </c>
      <c r="H17" s="9">
        <v>0.51500000000000001</v>
      </c>
      <c r="I17" s="4">
        <f t="shared" si="0"/>
        <v>0.11499999999999999</v>
      </c>
      <c r="J17" s="11">
        <v>19.5</v>
      </c>
      <c r="K17" s="11">
        <v>23</v>
      </c>
      <c r="L17" s="5">
        <v>28.801601388888901</v>
      </c>
      <c r="M17" s="5">
        <f>1906.5/60</f>
        <v>31.774999999999999</v>
      </c>
      <c r="N17" s="5"/>
      <c r="O17" s="12" t="s">
        <v>50</v>
      </c>
    </row>
    <row r="18" spans="1:16" x14ac:dyDescent="0.25">
      <c r="A18" s="1" t="s">
        <v>151</v>
      </c>
      <c r="B18" s="10" t="s">
        <v>152</v>
      </c>
      <c r="C18" s="1" t="s">
        <v>65</v>
      </c>
      <c r="D18" s="10" t="s">
        <v>184</v>
      </c>
      <c r="E18" s="11">
        <v>16</v>
      </c>
      <c r="F18" s="11">
        <v>18</v>
      </c>
      <c r="G18" s="4">
        <v>0.86799999999999999</v>
      </c>
      <c r="H18" s="4">
        <v>0.77900000000000003</v>
      </c>
      <c r="I18" s="4">
        <f t="shared" si="0"/>
        <v>8.8999999999999968E-2</v>
      </c>
      <c r="J18" s="11">
        <v>15.5</v>
      </c>
      <c r="K18" s="11">
        <v>25</v>
      </c>
      <c r="L18" s="5">
        <v>12.970817638888899</v>
      </c>
      <c r="M18" s="5">
        <f>668.6/60</f>
        <v>11.143333333333334</v>
      </c>
      <c r="N18" s="5"/>
      <c r="O18" s="12" t="s">
        <v>50</v>
      </c>
    </row>
    <row r="19" spans="1:16" x14ac:dyDescent="0.25">
      <c r="A19" s="1" t="s">
        <v>153</v>
      </c>
      <c r="B19" s="10" t="s">
        <v>154</v>
      </c>
      <c r="C19" t="s">
        <v>65</v>
      </c>
      <c r="D19" s="10" t="s">
        <v>184</v>
      </c>
      <c r="E19" s="11">
        <v>18</v>
      </c>
      <c r="F19" s="11">
        <v>19</v>
      </c>
      <c r="G19" s="4">
        <v>0.77900000000000003</v>
      </c>
      <c r="H19" s="4">
        <v>0.70199999999999996</v>
      </c>
      <c r="I19" s="4">
        <f t="shared" si="0"/>
        <v>7.7000000000000068E-2</v>
      </c>
      <c r="J19" s="11">
        <v>16</v>
      </c>
      <c r="K19" s="11">
        <v>22</v>
      </c>
      <c r="L19" s="5">
        <v>12.187896666666701</v>
      </c>
      <c r="M19" s="5">
        <f>880.7/60</f>
        <v>14.678333333333335</v>
      </c>
      <c r="N19" s="5"/>
      <c r="O19" s="12" t="s">
        <v>50</v>
      </c>
      <c r="P19" t="s">
        <v>183</v>
      </c>
    </row>
    <row r="20" spans="1:16" x14ac:dyDescent="0.25">
      <c r="A20" s="1" t="s">
        <v>155</v>
      </c>
      <c r="B20" s="10" t="s">
        <v>156</v>
      </c>
      <c r="C20" s="1" t="s">
        <v>65</v>
      </c>
      <c r="D20" s="10" t="s">
        <v>184</v>
      </c>
      <c r="E20" s="11">
        <v>22</v>
      </c>
      <c r="F20" s="11">
        <v>22</v>
      </c>
      <c r="G20" s="4">
        <v>0.88500000000000001</v>
      </c>
      <c r="H20" s="9">
        <v>0.80400000000000005</v>
      </c>
      <c r="I20" s="4">
        <f t="shared" si="0"/>
        <v>8.0999999999999961E-2</v>
      </c>
      <c r="J20" s="11">
        <v>23.5</v>
      </c>
      <c r="K20" s="16">
        <v>30</v>
      </c>
      <c r="L20" s="5">
        <v>16.7303819444444</v>
      </c>
      <c r="M20" s="5">
        <f>1587.5/60</f>
        <v>26.458333333333332</v>
      </c>
      <c r="N20" s="5"/>
      <c r="O20" s="10" t="s">
        <v>50</v>
      </c>
    </row>
    <row r="21" spans="1:16" x14ac:dyDescent="0.25">
      <c r="A21" s="1" t="s">
        <v>157</v>
      </c>
      <c r="B21" s="10" t="s">
        <v>158</v>
      </c>
      <c r="C21" s="1" t="s">
        <v>65</v>
      </c>
      <c r="D21" s="10" t="s">
        <v>184</v>
      </c>
      <c r="E21" s="11">
        <v>17</v>
      </c>
      <c r="F21" s="11">
        <v>17</v>
      </c>
      <c r="G21" s="4">
        <v>0.77</v>
      </c>
      <c r="H21" s="4">
        <v>0.69099999999999995</v>
      </c>
      <c r="I21" s="4">
        <f t="shared" si="0"/>
        <v>7.900000000000007E-2</v>
      </c>
      <c r="J21" s="11">
        <v>14</v>
      </c>
      <c r="K21" s="11">
        <v>26</v>
      </c>
      <c r="L21" s="5">
        <v>11.517994444444399</v>
      </c>
      <c r="M21" s="5">
        <f>1719.5/60</f>
        <v>28.658333333333335</v>
      </c>
      <c r="N21" s="5"/>
      <c r="O21" s="10" t="s">
        <v>50</v>
      </c>
    </row>
    <row r="22" spans="1:16" x14ac:dyDescent="0.25">
      <c r="A22" s="1" t="s">
        <v>159</v>
      </c>
      <c r="B22" s="10" t="s">
        <v>160</v>
      </c>
      <c r="C22" s="1" t="s">
        <v>65</v>
      </c>
      <c r="D22" s="10" t="s">
        <v>68</v>
      </c>
      <c r="E22" s="11">
        <v>18</v>
      </c>
      <c r="F22" s="11">
        <v>20</v>
      </c>
      <c r="G22" s="4">
        <v>0.71299999999999997</v>
      </c>
      <c r="H22" s="4">
        <v>0.63700000000000001</v>
      </c>
      <c r="I22" s="4">
        <f t="shared" si="0"/>
        <v>7.5999999999999956E-2</v>
      </c>
      <c r="J22" s="11">
        <v>22.5</v>
      </c>
      <c r="K22" s="11">
        <v>22</v>
      </c>
      <c r="L22" s="5">
        <v>14.3236054166667</v>
      </c>
      <c r="M22" s="5">
        <f>1982.8/60</f>
        <v>33.046666666666667</v>
      </c>
      <c r="N22" s="5"/>
      <c r="O22" s="10" t="s">
        <v>50</v>
      </c>
    </row>
    <row r="23" spans="1:16" x14ac:dyDescent="0.25">
      <c r="A23" s="1" t="s">
        <v>161</v>
      </c>
      <c r="B23" s="10" t="s">
        <v>162</v>
      </c>
      <c r="C23" s="1" t="s">
        <v>65</v>
      </c>
      <c r="D23" s="10" t="s">
        <v>68</v>
      </c>
      <c r="E23" s="11">
        <v>19</v>
      </c>
      <c r="F23" s="11">
        <v>20</v>
      </c>
      <c r="G23" s="4">
        <v>0.873</v>
      </c>
      <c r="H23" s="9">
        <v>0.76500000000000001</v>
      </c>
      <c r="I23" s="4">
        <f t="shared" si="0"/>
        <v>0.10799999999999998</v>
      </c>
      <c r="J23" s="11">
        <v>17</v>
      </c>
      <c r="K23" s="11">
        <v>23</v>
      </c>
      <c r="L23" s="5">
        <v>19.370888398888901</v>
      </c>
      <c r="M23" s="5">
        <f>1838.7/60</f>
        <v>30.645</v>
      </c>
      <c r="N23" s="5"/>
      <c r="O23" s="10" t="s">
        <v>50</v>
      </c>
    </row>
    <row r="24" spans="1:16" x14ac:dyDescent="0.25">
      <c r="A24" s="1" t="s">
        <v>163</v>
      </c>
      <c r="B24" s="10" t="s">
        <v>164</v>
      </c>
      <c r="C24" t="s">
        <v>65</v>
      </c>
      <c r="D24" s="10" t="s">
        <v>68</v>
      </c>
      <c r="E24" s="11">
        <v>16</v>
      </c>
      <c r="F24" s="11">
        <v>17</v>
      </c>
      <c r="G24" s="4">
        <v>0.874</v>
      </c>
      <c r="H24" s="4">
        <v>0.81899999999999995</v>
      </c>
      <c r="I24" s="4">
        <f t="shared" si="0"/>
        <v>5.5000000000000049E-2</v>
      </c>
      <c r="J24" s="11">
        <v>19.5</v>
      </c>
      <c r="K24" s="11">
        <v>28</v>
      </c>
      <c r="L24" s="3">
        <v>8.3597603238888905</v>
      </c>
      <c r="M24" s="5">
        <f>1042.5/60</f>
        <v>17.375</v>
      </c>
      <c r="N24" s="5"/>
      <c r="O24" s="10" t="s">
        <v>50</v>
      </c>
    </row>
    <row r="25" spans="1:16" x14ac:dyDescent="0.25">
      <c r="A25" s="1" t="s">
        <v>165</v>
      </c>
      <c r="B25" s="10" t="s">
        <v>166</v>
      </c>
      <c r="C25" s="1" t="s">
        <v>65</v>
      </c>
      <c r="D25" s="10" t="s">
        <v>68</v>
      </c>
      <c r="E25" s="11">
        <v>17</v>
      </c>
      <c r="F25" s="11">
        <v>19</v>
      </c>
      <c r="G25" s="4">
        <v>0.81899999999999995</v>
      </c>
      <c r="H25" s="4">
        <v>0.74399999999999999</v>
      </c>
      <c r="I25" s="4">
        <f t="shared" si="0"/>
        <v>7.4999999999999956E-2</v>
      </c>
      <c r="J25" s="11">
        <v>19</v>
      </c>
      <c r="K25" s="11">
        <v>23</v>
      </c>
      <c r="L25" s="3">
        <v>11.2745380752778</v>
      </c>
      <c r="M25" s="5">
        <f>532.1/60</f>
        <v>8.8683333333333341</v>
      </c>
      <c r="N25" s="5"/>
      <c r="O25" s="10" t="s">
        <v>50</v>
      </c>
    </row>
    <row r="26" spans="1:16" x14ac:dyDescent="0.25">
      <c r="A26" s="1" t="s">
        <v>167</v>
      </c>
      <c r="B26" s="10" t="s">
        <v>168</v>
      </c>
      <c r="C26" s="1" t="s">
        <v>65</v>
      </c>
      <c r="D26" s="10" t="s">
        <v>68</v>
      </c>
      <c r="E26" s="11">
        <v>19</v>
      </c>
      <c r="F26" s="11">
        <v>20</v>
      </c>
      <c r="G26" s="4">
        <v>0.74399999999999999</v>
      </c>
      <c r="H26" s="9">
        <v>0.65200000000000002</v>
      </c>
      <c r="I26" s="4">
        <f t="shared" si="0"/>
        <v>9.1999999999999971E-2</v>
      </c>
      <c r="J26" s="11">
        <v>17</v>
      </c>
      <c r="K26" s="11">
        <v>33</v>
      </c>
      <c r="L26" s="3">
        <v>12.209749740555599</v>
      </c>
      <c r="M26" s="5">
        <f>762.6/60</f>
        <v>12.71</v>
      </c>
      <c r="N26" s="5"/>
      <c r="O26" s="10" t="s">
        <v>50</v>
      </c>
    </row>
    <row r="27" spans="1:16" x14ac:dyDescent="0.25">
      <c r="A27" s="1" t="s">
        <v>169</v>
      </c>
      <c r="B27" s="10" t="s">
        <v>170</v>
      </c>
      <c r="C27" s="1" t="s">
        <v>65</v>
      </c>
      <c r="D27" s="10" t="s">
        <v>184</v>
      </c>
      <c r="E27" s="11">
        <v>19</v>
      </c>
      <c r="F27" s="11">
        <v>20</v>
      </c>
      <c r="G27" s="4">
        <v>0.86199999999999999</v>
      </c>
      <c r="H27" s="4">
        <v>0.78800000000000003</v>
      </c>
      <c r="I27" s="4">
        <f t="shared" si="0"/>
        <v>7.3999999999999955E-2</v>
      </c>
      <c r="J27" s="11">
        <v>22</v>
      </c>
      <c r="K27" s="11">
        <v>30</v>
      </c>
      <c r="L27" s="3">
        <v>18.0322327777778</v>
      </c>
      <c r="M27" s="5">
        <f>1612.1/60</f>
        <v>26.868333333333332</v>
      </c>
      <c r="N27" s="5"/>
      <c r="O27" s="10" t="s">
        <v>50</v>
      </c>
    </row>
    <row r="28" spans="1:16" x14ac:dyDescent="0.25">
      <c r="A28" s="1" t="s">
        <v>171</v>
      </c>
      <c r="B28" s="10" t="s">
        <v>172</v>
      </c>
      <c r="C28" s="1" t="s">
        <v>65</v>
      </c>
      <c r="D28" s="10" t="s">
        <v>184</v>
      </c>
      <c r="E28" s="11">
        <v>20</v>
      </c>
      <c r="F28" s="11">
        <v>22</v>
      </c>
      <c r="G28" s="4">
        <v>0.78500000000000003</v>
      </c>
      <c r="H28" s="4">
        <v>0.66800000000000004</v>
      </c>
      <c r="I28" s="4">
        <f t="shared" si="0"/>
        <v>0.11699999999999999</v>
      </c>
      <c r="J28" s="11">
        <v>25.5</v>
      </c>
      <c r="K28" s="11">
        <v>25</v>
      </c>
      <c r="L28" s="3">
        <v>20.4298453947222</v>
      </c>
      <c r="M28" s="5">
        <f>2000.4/60</f>
        <v>33.340000000000003</v>
      </c>
      <c r="N28" s="5"/>
      <c r="O28" s="10" t="s">
        <v>50</v>
      </c>
    </row>
    <row r="29" spans="1:16" x14ac:dyDescent="0.25">
      <c r="A29" s="1" t="s">
        <v>173</v>
      </c>
      <c r="B29" s="10" t="s">
        <v>174</v>
      </c>
      <c r="C29" t="s">
        <v>65</v>
      </c>
      <c r="D29" s="10" t="s">
        <v>68</v>
      </c>
      <c r="E29" s="11">
        <v>18</v>
      </c>
      <c r="F29" s="11">
        <v>19</v>
      </c>
      <c r="G29" s="4">
        <v>0.81899999999999995</v>
      </c>
      <c r="H29" s="9">
        <v>0.72</v>
      </c>
      <c r="I29" s="4">
        <f t="shared" si="0"/>
        <v>9.8999999999999977E-2</v>
      </c>
      <c r="J29" s="11">
        <v>20.5</v>
      </c>
      <c r="K29" s="16">
        <v>25</v>
      </c>
      <c r="L29" s="3">
        <v>19.515315731944401</v>
      </c>
      <c r="M29" s="5">
        <f>1743.5/60</f>
        <v>29.058333333333334</v>
      </c>
      <c r="N29" s="5"/>
      <c r="O29" s="10" t="s">
        <v>50</v>
      </c>
    </row>
    <row r="30" spans="1:16" x14ac:dyDescent="0.25">
      <c r="A30" s="1" t="s">
        <v>175</v>
      </c>
      <c r="B30" s="10" t="s">
        <v>176</v>
      </c>
      <c r="C30" s="1" t="s">
        <v>65</v>
      </c>
      <c r="D30" s="10" t="s">
        <v>68</v>
      </c>
      <c r="E30" s="11">
        <v>19</v>
      </c>
      <c r="F30" s="11">
        <v>21</v>
      </c>
      <c r="G30" s="4">
        <v>0.70899999999999996</v>
      </c>
      <c r="H30" s="4">
        <v>0.63100000000000001</v>
      </c>
      <c r="I30" s="4">
        <f t="shared" si="0"/>
        <v>7.7999999999999958E-2</v>
      </c>
      <c r="J30" s="11">
        <v>24</v>
      </c>
      <c r="K30" s="11">
        <v>29</v>
      </c>
      <c r="L30" s="3">
        <v>16.332609457499998</v>
      </c>
      <c r="M30" s="5">
        <f>1338.9/60</f>
        <v>22.315000000000001</v>
      </c>
      <c r="N30" s="5"/>
      <c r="O30" s="10" t="s">
        <v>50</v>
      </c>
    </row>
    <row r="31" spans="1:16" x14ac:dyDescent="0.25">
      <c r="A31" s="1" t="s">
        <v>177</v>
      </c>
      <c r="B31" s="10" t="s">
        <v>178</v>
      </c>
      <c r="C31" s="1" t="s">
        <v>65</v>
      </c>
      <c r="D31" s="10" t="s">
        <v>68</v>
      </c>
      <c r="E31" s="11">
        <v>20</v>
      </c>
      <c r="F31" s="11">
        <v>20</v>
      </c>
      <c r="G31" s="4">
        <v>0.85499999999999998</v>
      </c>
      <c r="H31" s="4">
        <v>0.81</v>
      </c>
      <c r="I31" s="4">
        <f t="shared" si="0"/>
        <v>4.4999999999999929E-2</v>
      </c>
      <c r="J31" s="11">
        <v>19</v>
      </c>
      <c r="K31" s="11">
        <v>25</v>
      </c>
      <c r="L31" s="3">
        <v>7.7464444444444398</v>
      </c>
      <c r="M31" s="5">
        <f>1397.3/60</f>
        <v>23.288333333333334</v>
      </c>
      <c r="N31" s="5"/>
      <c r="O31" s="10" t="s">
        <v>50</v>
      </c>
    </row>
    <row r="32" spans="1:16" x14ac:dyDescent="0.25">
      <c r="A32" s="1" t="s">
        <v>179</v>
      </c>
      <c r="B32" s="10" t="s">
        <v>178</v>
      </c>
      <c r="C32" s="1" t="s">
        <v>65</v>
      </c>
      <c r="D32" s="10" t="s">
        <v>68</v>
      </c>
      <c r="E32" s="11">
        <v>20</v>
      </c>
      <c r="F32" s="11">
        <v>21</v>
      </c>
      <c r="G32" s="4">
        <v>0.81</v>
      </c>
      <c r="H32" s="9">
        <v>0.82499999999999996</v>
      </c>
      <c r="I32" s="4">
        <v>0.71899999999999997</v>
      </c>
      <c r="J32" s="11">
        <v>23.5</v>
      </c>
      <c r="K32" s="11">
        <v>26</v>
      </c>
      <c r="L32" s="3">
        <v>15.9760519444444</v>
      </c>
      <c r="M32" s="5">
        <f>1186.9/60</f>
        <v>19.78166666666667</v>
      </c>
      <c r="N32" s="5"/>
      <c r="O32" s="10" t="s">
        <v>50</v>
      </c>
    </row>
    <row r="33" spans="1:16" x14ac:dyDescent="0.25">
      <c r="A33" s="1" t="s">
        <v>180</v>
      </c>
      <c r="B33" s="10" t="s">
        <v>181</v>
      </c>
      <c r="C33" s="1" t="s">
        <v>65</v>
      </c>
      <c r="D33" s="10" t="s">
        <v>184</v>
      </c>
      <c r="E33" s="11">
        <v>21</v>
      </c>
      <c r="F33" s="11">
        <v>26</v>
      </c>
      <c r="G33" s="4">
        <v>0.86499999999999999</v>
      </c>
      <c r="H33" s="4">
        <v>0.59499999999999997</v>
      </c>
      <c r="I33" s="4">
        <f t="shared" si="0"/>
        <v>0.27</v>
      </c>
      <c r="J33" s="11">
        <v>20</v>
      </c>
      <c r="K33" s="11">
        <v>27.5</v>
      </c>
      <c r="L33" s="3">
        <v>37.207689722222199</v>
      </c>
      <c r="M33" s="5">
        <f>1672.1/60</f>
        <v>27.868333333333332</v>
      </c>
      <c r="N33" s="5"/>
      <c r="O33" s="10" t="s">
        <v>50</v>
      </c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"/>
      <c r="M34" s="3"/>
      <c r="N34" s="3"/>
      <c r="O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"/>
      <c r="M35" s="3"/>
      <c r="N35" s="3"/>
      <c r="O35" s="1"/>
    </row>
    <row r="36" spans="1:16" x14ac:dyDescent="0.25">
      <c r="A36" s="1" t="s">
        <v>83</v>
      </c>
      <c r="B36" s="1" t="s">
        <v>31</v>
      </c>
      <c r="C36" s="1" t="s">
        <v>58</v>
      </c>
      <c r="D36" s="1" t="s">
        <v>67</v>
      </c>
      <c r="E36" s="16">
        <v>7</v>
      </c>
      <c r="F36" s="16">
        <v>15</v>
      </c>
      <c r="G36" s="4">
        <v>0.86099999999999999</v>
      </c>
      <c r="H36" s="4">
        <v>0.57399999999999995</v>
      </c>
      <c r="I36" s="4">
        <f>G36-H36</f>
        <v>0.28700000000000003</v>
      </c>
      <c r="J36" s="16">
        <v>8.5</v>
      </c>
      <c r="K36" s="16">
        <v>22</v>
      </c>
      <c r="L36" s="3">
        <v>38.791800000000002</v>
      </c>
      <c r="M36" s="3">
        <f>3251.7/60</f>
        <v>54.195</v>
      </c>
      <c r="N36" s="3"/>
      <c r="O36" s="1" t="s">
        <v>50</v>
      </c>
      <c r="P36" s="1"/>
    </row>
    <row r="37" spans="1:16" x14ac:dyDescent="0.25">
      <c r="A37" s="1" t="s">
        <v>84</v>
      </c>
      <c r="B37" s="1" t="s">
        <v>32</v>
      </c>
      <c r="C37" s="1" t="s">
        <v>56</v>
      </c>
      <c r="D37" s="1" t="s">
        <v>186</v>
      </c>
      <c r="E37" s="11">
        <v>13</v>
      </c>
      <c r="F37" s="11">
        <v>15</v>
      </c>
      <c r="G37" s="4">
        <v>0.81</v>
      </c>
      <c r="H37" s="4">
        <v>0.66200000000000003</v>
      </c>
      <c r="I37" s="4">
        <f t="shared" ref="I37:I73" si="1">G37-H37</f>
        <v>0.14800000000000002</v>
      </c>
      <c r="J37" s="11">
        <v>6.5</v>
      </c>
      <c r="K37" s="11">
        <v>22</v>
      </c>
      <c r="L37" s="3">
        <v>18.925999999999998</v>
      </c>
      <c r="M37" s="5">
        <f>1611.2/60</f>
        <v>26.853333333333335</v>
      </c>
      <c r="N37" s="5"/>
      <c r="O37" s="1" t="s">
        <v>50</v>
      </c>
    </row>
    <row r="38" spans="1:16" x14ac:dyDescent="0.25">
      <c r="A38" s="1" t="s">
        <v>85</v>
      </c>
      <c r="B38" s="1" t="s">
        <v>44</v>
      </c>
      <c r="C38" s="1" t="s">
        <v>56</v>
      </c>
      <c r="D38" s="1" t="s">
        <v>68</v>
      </c>
      <c r="E38" s="11">
        <v>9</v>
      </c>
      <c r="F38" s="11">
        <v>12</v>
      </c>
      <c r="G38" s="4">
        <v>0.67400000000000004</v>
      </c>
      <c r="H38" s="4">
        <v>0.504</v>
      </c>
      <c r="I38" s="4">
        <f t="shared" si="1"/>
        <v>0.17000000000000004</v>
      </c>
      <c r="J38" s="11">
        <v>3.5</v>
      </c>
      <c r="K38" s="11">
        <v>22</v>
      </c>
      <c r="L38" s="3">
        <v>19.3977</v>
      </c>
      <c r="M38" s="3">
        <f>1579.3/60</f>
        <v>26.321666666666665</v>
      </c>
      <c r="N38" s="3"/>
      <c r="O38" s="1" t="s">
        <v>50</v>
      </c>
      <c r="P38" s="1" t="s">
        <v>53</v>
      </c>
    </row>
    <row r="39" spans="1:16" x14ac:dyDescent="0.25">
      <c r="A39" s="1" t="s">
        <v>86</v>
      </c>
      <c r="B39" s="1" t="s">
        <v>45</v>
      </c>
      <c r="C39" s="1" t="s">
        <v>59</v>
      </c>
      <c r="D39" s="1" t="s">
        <v>67</v>
      </c>
      <c r="E39" s="11">
        <v>12</v>
      </c>
      <c r="F39" s="11">
        <v>20</v>
      </c>
      <c r="G39" s="4">
        <v>0.45100000000000001</v>
      </c>
      <c r="H39" s="4">
        <v>0.69199999999999995</v>
      </c>
      <c r="I39" s="4">
        <f t="shared" si="1"/>
        <v>-0.24099999999999994</v>
      </c>
      <c r="J39" s="11">
        <v>9</v>
      </c>
      <c r="K39" s="11">
        <v>22</v>
      </c>
      <c r="L39" s="5">
        <v>16.595300000000002</v>
      </c>
      <c r="M39" s="5">
        <f>2954.9/60</f>
        <v>49.248333333333335</v>
      </c>
      <c r="N39" s="5"/>
      <c r="O39" s="1" t="s">
        <v>50</v>
      </c>
      <c r="P39" s="1" t="s">
        <v>53</v>
      </c>
    </row>
    <row r="40" spans="1:16" x14ac:dyDescent="0.25">
      <c r="A40" s="1" t="s">
        <v>87</v>
      </c>
      <c r="B40" s="1" t="s">
        <v>2</v>
      </c>
      <c r="C40" s="1" t="s">
        <v>60</v>
      </c>
      <c r="D40" s="1" t="s">
        <v>67</v>
      </c>
      <c r="E40" s="11">
        <v>10</v>
      </c>
      <c r="F40" s="11">
        <v>11</v>
      </c>
      <c r="G40" s="4">
        <v>0.71899999999999997</v>
      </c>
      <c r="H40" s="4">
        <v>0.59499999999999997</v>
      </c>
      <c r="I40" s="4">
        <f t="shared" si="1"/>
        <v>0.124</v>
      </c>
      <c r="J40" s="11">
        <v>7</v>
      </c>
      <c r="K40" s="11">
        <v>22</v>
      </c>
      <c r="L40" s="5" t="s">
        <v>80</v>
      </c>
      <c r="M40" s="5">
        <f>1019.4/60</f>
        <v>16.989999999999998</v>
      </c>
      <c r="N40" s="5"/>
      <c r="O40" s="1" t="s">
        <v>50</v>
      </c>
      <c r="P40" s="1" t="s">
        <v>54</v>
      </c>
    </row>
    <row r="41" spans="1:16" x14ac:dyDescent="0.25">
      <c r="A41" s="1" t="s">
        <v>88</v>
      </c>
      <c r="B41" s="1" t="s">
        <v>1</v>
      </c>
      <c r="C41" s="1" t="s">
        <v>60</v>
      </c>
      <c r="D41" s="1" t="s">
        <v>69</v>
      </c>
      <c r="E41" s="11">
        <v>11</v>
      </c>
      <c r="F41" s="11">
        <v>13</v>
      </c>
      <c r="G41" s="4">
        <v>0.83199999999999996</v>
      </c>
      <c r="H41" s="4">
        <v>0.69299999999999995</v>
      </c>
      <c r="I41" s="4">
        <f t="shared" si="1"/>
        <v>0.13900000000000001</v>
      </c>
      <c r="J41" s="11">
        <v>6</v>
      </c>
      <c r="K41" s="11">
        <v>22</v>
      </c>
      <c r="L41" s="5">
        <v>16.579999999999998</v>
      </c>
      <c r="M41" s="5">
        <f>1352/60</f>
        <v>22.533333333333335</v>
      </c>
      <c r="N41" s="5"/>
      <c r="O41" s="1" t="s">
        <v>50</v>
      </c>
      <c r="P41" s="1" t="s">
        <v>54</v>
      </c>
    </row>
    <row r="42" spans="1:16" x14ac:dyDescent="0.25">
      <c r="A42" s="1" t="s">
        <v>89</v>
      </c>
      <c r="B42" s="1" t="s">
        <v>30</v>
      </c>
      <c r="C42" s="1" t="s">
        <v>61</v>
      </c>
      <c r="D42" s="1" t="s">
        <v>184</v>
      </c>
      <c r="E42" s="11">
        <v>5</v>
      </c>
      <c r="F42" s="11">
        <v>8</v>
      </c>
      <c r="G42" s="4">
        <v>0.67400000000000004</v>
      </c>
      <c r="H42" s="4">
        <v>0.504</v>
      </c>
      <c r="I42" s="4">
        <f t="shared" si="1"/>
        <v>0.17000000000000004</v>
      </c>
      <c r="J42" s="11">
        <v>2.5</v>
      </c>
      <c r="K42" s="11">
        <v>22</v>
      </c>
      <c r="L42" s="5">
        <v>30.375800000000002</v>
      </c>
      <c r="M42" s="5">
        <f>2289.8/60</f>
        <v>38.163333333333334</v>
      </c>
      <c r="N42" s="5"/>
      <c r="O42" s="1" t="s">
        <v>50</v>
      </c>
      <c r="P42" s="1"/>
    </row>
    <row r="43" spans="1:16" x14ac:dyDescent="0.25">
      <c r="A43" s="1" t="s">
        <v>90</v>
      </c>
      <c r="B43" s="1" t="s">
        <v>42</v>
      </c>
      <c r="C43" s="1" t="s">
        <v>61</v>
      </c>
      <c r="D43" s="1" t="s">
        <v>67</v>
      </c>
      <c r="E43" s="11">
        <v>7</v>
      </c>
      <c r="F43" s="11">
        <v>10</v>
      </c>
      <c r="G43" s="4">
        <v>0.67300000000000004</v>
      </c>
      <c r="H43" s="4">
        <v>0.44</v>
      </c>
      <c r="I43" s="4">
        <f t="shared" si="1"/>
        <v>0.23300000000000004</v>
      </c>
      <c r="J43" s="11">
        <v>3.5</v>
      </c>
      <c r="K43" s="11">
        <v>22</v>
      </c>
      <c r="L43" s="3">
        <v>32.224200000000003</v>
      </c>
      <c r="M43" s="5">
        <f>2913.9/60</f>
        <v>48.565000000000005</v>
      </c>
      <c r="N43" s="5"/>
      <c r="O43" s="1" t="s">
        <v>50</v>
      </c>
      <c r="P43" s="1"/>
    </row>
    <row r="44" spans="1:16" x14ac:dyDescent="0.25">
      <c r="A44" s="1" t="s">
        <v>91</v>
      </c>
      <c r="B44" s="1" t="s">
        <v>3</v>
      </c>
      <c r="C44" s="1" t="s">
        <v>62</v>
      </c>
      <c r="D44" s="1" t="s">
        <v>68</v>
      </c>
      <c r="E44" s="11">
        <v>0</v>
      </c>
      <c r="F44" s="11">
        <v>14</v>
      </c>
      <c r="G44" s="4">
        <v>0.7</v>
      </c>
      <c r="H44" s="4">
        <v>0.46</v>
      </c>
      <c r="I44" s="4">
        <f t="shared" si="1"/>
        <v>0.23999999999999994</v>
      </c>
      <c r="J44" s="11">
        <v>5.5</v>
      </c>
      <c r="K44" s="11">
        <v>22</v>
      </c>
      <c r="L44" s="3">
        <v>54.182499999999997</v>
      </c>
      <c r="M44" s="5">
        <f>5610.1/60</f>
        <v>93.501666666666679</v>
      </c>
      <c r="N44" s="5"/>
      <c r="O44" s="1" t="s">
        <v>50</v>
      </c>
      <c r="P44" s="6" t="s">
        <v>57</v>
      </c>
    </row>
    <row r="45" spans="1:16" x14ac:dyDescent="0.25">
      <c r="A45" s="1" t="s">
        <v>92</v>
      </c>
      <c r="B45" s="1" t="s">
        <v>4</v>
      </c>
      <c r="C45" s="1" t="s">
        <v>63</v>
      </c>
      <c r="D45" s="1" t="s">
        <v>184</v>
      </c>
      <c r="E45" s="11">
        <v>2</v>
      </c>
      <c r="F45" s="11">
        <v>14</v>
      </c>
      <c r="G45" s="4">
        <v>0.84799999999999998</v>
      </c>
      <c r="H45" s="4">
        <v>0.39</v>
      </c>
      <c r="I45" s="4">
        <f t="shared" si="1"/>
        <v>0.45799999999999996</v>
      </c>
      <c r="J45" s="11">
        <v>2.5</v>
      </c>
      <c r="K45" s="11">
        <v>22</v>
      </c>
      <c r="L45" s="3">
        <v>47.839100000000002</v>
      </c>
      <c r="M45" s="5">
        <f>2023.2/60</f>
        <v>33.72</v>
      </c>
      <c r="N45" s="5"/>
      <c r="O45" s="1" t="s">
        <v>50</v>
      </c>
      <c r="P45" s="6" t="s">
        <v>5</v>
      </c>
    </row>
    <row r="46" spans="1:16" x14ac:dyDescent="0.25">
      <c r="A46" s="1" t="s">
        <v>93</v>
      </c>
      <c r="B46" s="1" t="s">
        <v>6</v>
      </c>
      <c r="C46" s="1" t="s">
        <v>62</v>
      </c>
      <c r="D46" s="1" t="s">
        <v>67</v>
      </c>
      <c r="E46" s="11">
        <v>14</v>
      </c>
      <c r="F46" s="11">
        <v>15</v>
      </c>
      <c r="G46" s="4">
        <v>0.38900000000000001</v>
      </c>
      <c r="H46" s="4">
        <v>0.308</v>
      </c>
      <c r="I46" s="4">
        <f t="shared" si="1"/>
        <v>8.1000000000000016E-2</v>
      </c>
      <c r="J46" s="11">
        <v>4</v>
      </c>
      <c r="K46" s="11">
        <v>22</v>
      </c>
      <c r="L46" s="3">
        <v>10.2134</v>
      </c>
      <c r="M46" s="3">
        <f>753.3/60</f>
        <v>12.555</v>
      </c>
      <c r="N46" s="3"/>
      <c r="O46" s="1" t="s">
        <v>50</v>
      </c>
      <c r="P46" s="1"/>
    </row>
    <row r="47" spans="1:16" x14ac:dyDescent="0.25">
      <c r="A47" s="1" t="s">
        <v>94</v>
      </c>
      <c r="B47" s="1" t="s">
        <v>7</v>
      </c>
      <c r="C47" s="1" t="s">
        <v>63</v>
      </c>
      <c r="D47" s="1" t="s">
        <v>67</v>
      </c>
      <c r="E47" s="11">
        <v>22</v>
      </c>
      <c r="F47" s="11">
        <v>20</v>
      </c>
      <c r="G47" s="4">
        <v>0.73399999999999999</v>
      </c>
      <c r="H47" s="4">
        <v>0.51300000000000001</v>
      </c>
      <c r="I47" s="4">
        <f t="shared" si="1"/>
        <v>0.22099999999999997</v>
      </c>
      <c r="J47" s="11">
        <v>7.5</v>
      </c>
      <c r="K47" s="11">
        <v>22</v>
      </c>
      <c r="L47" s="3">
        <v>37.061399999999999</v>
      </c>
      <c r="M47" s="3">
        <f>3225.5/60</f>
        <v>53.758333333333333</v>
      </c>
      <c r="N47" s="3"/>
      <c r="O47" s="1" t="s">
        <v>50</v>
      </c>
      <c r="P47" s="1"/>
    </row>
    <row r="48" spans="1:16" x14ac:dyDescent="0.25">
      <c r="A48" s="1" t="s">
        <v>95</v>
      </c>
      <c r="B48" s="1" t="s">
        <v>8</v>
      </c>
      <c r="C48" s="1" t="s">
        <v>62</v>
      </c>
      <c r="D48" s="1" t="s">
        <v>67</v>
      </c>
      <c r="E48" s="11">
        <v>20</v>
      </c>
      <c r="F48" s="11">
        <v>20</v>
      </c>
      <c r="G48" s="4">
        <v>0.56999999999999995</v>
      </c>
      <c r="H48" s="4">
        <v>0.55100000000000005</v>
      </c>
      <c r="I48" s="4">
        <f t="shared" si="1"/>
        <v>1.8999999999999906E-2</v>
      </c>
      <c r="J48" s="11">
        <v>6</v>
      </c>
      <c r="K48" s="11">
        <v>22</v>
      </c>
      <c r="L48" s="3">
        <v>2.7823000000000002</v>
      </c>
      <c r="M48" s="3">
        <f>354.4/60</f>
        <v>5.9066666666666663</v>
      </c>
      <c r="N48" s="3"/>
      <c r="O48" s="1" t="s">
        <v>50</v>
      </c>
      <c r="P48" s="1"/>
    </row>
    <row r="49" spans="1:16" x14ac:dyDescent="0.25">
      <c r="A49" s="1" t="s">
        <v>96</v>
      </c>
      <c r="B49" s="1" t="s">
        <v>9</v>
      </c>
      <c r="C49" s="1" t="s">
        <v>63</v>
      </c>
      <c r="D49" s="1" t="s">
        <v>67</v>
      </c>
      <c r="E49" s="11">
        <v>3</v>
      </c>
      <c r="F49" s="11">
        <v>13</v>
      </c>
      <c r="G49" s="4">
        <v>0.85499999999999998</v>
      </c>
      <c r="H49" s="4">
        <v>0.34599999999999997</v>
      </c>
      <c r="I49" s="4">
        <f t="shared" si="1"/>
        <v>0.50900000000000001</v>
      </c>
      <c r="J49" s="11">
        <v>3</v>
      </c>
      <c r="K49" s="11">
        <v>22</v>
      </c>
      <c r="L49" s="3">
        <v>60.974699999999999</v>
      </c>
      <c r="M49" s="3">
        <f>3821.9/60</f>
        <v>63.698333333333338</v>
      </c>
      <c r="N49" s="3"/>
      <c r="O49" s="1" t="s">
        <v>50</v>
      </c>
      <c r="P49" s="6" t="s">
        <v>10</v>
      </c>
    </row>
    <row r="50" spans="1:16" x14ac:dyDescent="0.25">
      <c r="A50" s="1" t="s">
        <v>97</v>
      </c>
      <c r="B50" s="1" t="s">
        <v>11</v>
      </c>
      <c r="C50" s="1" t="s">
        <v>56</v>
      </c>
      <c r="D50" s="1" t="s">
        <v>184</v>
      </c>
      <c r="E50" s="11">
        <v>9</v>
      </c>
      <c r="F50" s="11">
        <v>11</v>
      </c>
      <c r="G50" s="4">
        <v>0.85099999999999998</v>
      </c>
      <c r="H50" s="4">
        <v>0.67500000000000004</v>
      </c>
      <c r="I50" s="4">
        <f t="shared" si="1"/>
        <v>0.17599999999999993</v>
      </c>
      <c r="J50" s="11">
        <v>2</v>
      </c>
      <c r="K50" s="11">
        <v>22</v>
      </c>
      <c r="L50" s="3">
        <v>19.2393</v>
      </c>
      <c r="M50" s="3">
        <f>1822.2/60</f>
        <v>30.37</v>
      </c>
      <c r="N50" s="3"/>
      <c r="O50" s="1" t="s">
        <v>50</v>
      </c>
      <c r="P50" s="1" t="s">
        <v>56</v>
      </c>
    </row>
    <row r="51" spans="1:16" x14ac:dyDescent="0.25">
      <c r="A51" s="1" t="s">
        <v>98</v>
      </c>
      <c r="B51" s="1" t="s">
        <v>12</v>
      </c>
      <c r="C51" s="1" t="s">
        <v>56</v>
      </c>
      <c r="D51" s="1" t="s">
        <v>184</v>
      </c>
      <c r="E51" s="11">
        <v>11</v>
      </c>
      <c r="F51" s="11">
        <v>13</v>
      </c>
      <c r="G51" s="4">
        <v>0.67500000000000004</v>
      </c>
      <c r="H51" s="4">
        <v>0.52800000000000002</v>
      </c>
      <c r="I51" s="4">
        <f t="shared" si="1"/>
        <v>0.14700000000000002</v>
      </c>
      <c r="J51" s="16">
        <v>3</v>
      </c>
      <c r="K51" s="11">
        <v>22</v>
      </c>
      <c r="L51" s="3">
        <v>19.233899999999998</v>
      </c>
      <c r="M51" s="3">
        <f>1528.5/60</f>
        <v>25.475000000000001</v>
      </c>
      <c r="N51" s="3"/>
      <c r="O51" s="1" t="s">
        <v>50</v>
      </c>
      <c r="P51" s="1" t="s">
        <v>77</v>
      </c>
    </row>
    <row r="52" spans="1:16" x14ac:dyDescent="0.25">
      <c r="A52" s="1" t="s">
        <v>99</v>
      </c>
      <c r="B52" s="1" t="s">
        <v>13</v>
      </c>
      <c r="C52" s="1" t="s">
        <v>56</v>
      </c>
      <c r="D52" s="1" t="s">
        <v>184</v>
      </c>
      <c r="E52" s="11">
        <v>13</v>
      </c>
      <c r="F52" s="11">
        <v>15</v>
      </c>
      <c r="G52" s="4">
        <v>0.52800000000000002</v>
      </c>
      <c r="H52" s="4">
        <v>0.372</v>
      </c>
      <c r="I52" s="4">
        <f t="shared" si="1"/>
        <v>0.15600000000000003</v>
      </c>
      <c r="J52" s="11">
        <v>3.5</v>
      </c>
      <c r="K52" s="11">
        <v>22</v>
      </c>
      <c r="L52" s="3">
        <v>19.247800000000002</v>
      </c>
      <c r="M52" s="3">
        <f>1560.9/60</f>
        <v>26.015000000000001</v>
      </c>
      <c r="N52" s="3"/>
      <c r="O52" s="1" t="s">
        <v>50</v>
      </c>
      <c r="P52" s="1" t="s">
        <v>78</v>
      </c>
    </row>
    <row r="53" spans="1:16" x14ac:dyDescent="0.25">
      <c r="A53" s="1" t="s">
        <v>100</v>
      </c>
      <c r="B53" s="1" t="s">
        <v>14</v>
      </c>
      <c r="C53" s="1" t="s">
        <v>60</v>
      </c>
      <c r="D53" s="1" t="s">
        <v>67</v>
      </c>
      <c r="E53" s="11">
        <v>3</v>
      </c>
      <c r="F53" s="11">
        <v>6</v>
      </c>
      <c r="G53" s="4">
        <v>0.82799999999999996</v>
      </c>
      <c r="H53" s="4">
        <v>0.68100000000000005</v>
      </c>
      <c r="I53" s="4">
        <f t="shared" si="1"/>
        <v>0.14699999999999991</v>
      </c>
      <c r="J53" s="11">
        <v>2.5</v>
      </c>
      <c r="K53" s="11">
        <v>22</v>
      </c>
      <c r="L53" s="3">
        <v>15.813599999999999</v>
      </c>
      <c r="M53" s="3">
        <f>1109.4/60</f>
        <v>18.490000000000002</v>
      </c>
      <c r="N53" s="3"/>
      <c r="O53" s="1" t="s">
        <v>50</v>
      </c>
      <c r="P53" s="1"/>
    </row>
    <row r="54" spans="1:16" x14ac:dyDescent="0.25">
      <c r="A54" s="1" t="s">
        <v>101</v>
      </c>
      <c r="B54" s="1" t="s">
        <v>15</v>
      </c>
      <c r="C54" s="1" t="s">
        <v>60</v>
      </c>
      <c r="D54" s="1" t="s">
        <v>70</v>
      </c>
      <c r="E54" s="11">
        <v>6</v>
      </c>
      <c r="F54" s="11">
        <v>8</v>
      </c>
      <c r="G54" s="4">
        <v>0.85799999999999998</v>
      </c>
      <c r="H54" s="4">
        <v>0.71599999999999997</v>
      </c>
      <c r="I54" s="4">
        <f t="shared" si="1"/>
        <v>0.14200000000000002</v>
      </c>
      <c r="J54" s="11">
        <v>3</v>
      </c>
      <c r="K54" s="11">
        <v>22</v>
      </c>
      <c r="L54" s="3">
        <v>16.4252</v>
      </c>
      <c r="M54" s="3">
        <f>1191/60</f>
        <v>19.850000000000001</v>
      </c>
      <c r="N54" s="3"/>
      <c r="O54" s="1" t="s">
        <v>50</v>
      </c>
      <c r="P54" s="1"/>
    </row>
    <row r="55" spans="1:16" x14ac:dyDescent="0.25">
      <c r="A55" s="1" t="s">
        <v>102</v>
      </c>
      <c r="B55" s="1" t="s">
        <v>16</v>
      </c>
      <c r="C55" s="1" t="s">
        <v>60</v>
      </c>
      <c r="D55" s="1" t="s">
        <v>69</v>
      </c>
      <c r="E55" s="11">
        <v>10</v>
      </c>
      <c r="F55" s="11">
        <v>12</v>
      </c>
      <c r="G55" s="4">
        <v>0.72699999999999998</v>
      </c>
      <c r="H55" s="4">
        <v>0.62</v>
      </c>
      <c r="I55" s="4">
        <f t="shared" si="1"/>
        <v>0.10699999999999998</v>
      </c>
      <c r="J55" s="11">
        <v>5</v>
      </c>
      <c r="K55" s="11">
        <v>22</v>
      </c>
      <c r="L55" s="3">
        <v>12.3436</v>
      </c>
      <c r="M55" s="3">
        <f>1402.8/60</f>
        <v>23.38</v>
      </c>
      <c r="N55" s="3"/>
      <c r="O55" s="1" t="s">
        <v>50</v>
      </c>
      <c r="P55" s="1" t="s">
        <v>54</v>
      </c>
    </row>
    <row r="56" spans="1:16" x14ac:dyDescent="0.25">
      <c r="A56" s="1" t="s">
        <v>103</v>
      </c>
      <c r="B56" s="1" t="s">
        <v>17</v>
      </c>
      <c r="C56" s="1" t="s">
        <v>60</v>
      </c>
      <c r="D56" s="1" t="s">
        <v>70</v>
      </c>
      <c r="E56" s="11">
        <v>7</v>
      </c>
      <c r="F56" s="11">
        <v>9</v>
      </c>
      <c r="G56" s="4">
        <v>0.55700000000000005</v>
      </c>
      <c r="H56" s="4">
        <v>0.41099999999999998</v>
      </c>
      <c r="I56" s="4">
        <f t="shared" si="1"/>
        <v>0.14600000000000007</v>
      </c>
      <c r="J56" s="11">
        <v>1.5</v>
      </c>
      <c r="K56" s="11">
        <v>22</v>
      </c>
      <c r="L56" s="3">
        <v>15.837199999999999</v>
      </c>
      <c r="M56" s="3">
        <f>1039.6/60</f>
        <v>17.326666666666664</v>
      </c>
      <c r="N56" s="3"/>
      <c r="O56" s="1" t="s">
        <v>50</v>
      </c>
      <c r="P56" s="1"/>
    </row>
    <row r="57" spans="1:16" x14ac:dyDescent="0.25">
      <c r="A57" s="1" t="s">
        <v>104</v>
      </c>
      <c r="B57" s="7" t="s">
        <v>18</v>
      </c>
      <c r="C57" s="1" t="s">
        <v>60</v>
      </c>
      <c r="D57" s="1" t="s">
        <v>71</v>
      </c>
      <c r="E57" s="11">
        <v>11</v>
      </c>
      <c r="F57" s="11">
        <v>13</v>
      </c>
      <c r="G57" s="4">
        <v>0.84399999999999997</v>
      </c>
      <c r="H57" s="4">
        <v>0.70499999999999996</v>
      </c>
      <c r="I57" s="4">
        <f t="shared" si="1"/>
        <v>0.13900000000000001</v>
      </c>
      <c r="J57" s="11">
        <v>7.5</v>
      </c>
      <c r="K57" s="11">
        <v>22</v>
      </c>
      <c r="L57" s="3">
        <v>16.862300000000001</v>
      </c>
      <c r="M57" s="3">
        <f>1199.2/60</f>
        <v>19.986666666666668</v>
      </c>
      <c r="N57" s="3"/>
      <c r="O57" s="1" t="s">
        <v>50</v>
      </c>
      <c r="P57" s="6" t="s">
        <v>23</v>
      </c>
    </row>
    <row r="58" spans="1:16" x14ac:dyDescent="0.25">
      <c r="A58" s="1" t="s">
        <v>105</v>
      </c>
      <c r="B58" s="1" t="s">
        <v>19</v>
      </c>
      <c r="C58" s="1" t="s">
        <v>60</v>
      </c>
      <c r="D58" s="1" t="s">
        <v>184</v>
      </c>
      <c r="E58" s="11">
        <v>6</v>
      </c>
      <c r="F58" s="11">
        <v>10</v>
      </c>
      <c r="G58" s="4">
        <v>0.72099999999999997</v>
      </c>
      <c r="H58" s="4">
        <v>0.53500000000000003</v>
      </c>
      <c r="I58" s="4">
        <f t="shared" si="1"/>
        <v>0.18599999999999994</v>
      </c>
      <c r="J58" s="11">
        <v>5</v>
      </c>
      <c r="K58" s="11">
        <v>22</v>
      </c>
      <c r="L58" s="3">
        <v>18.705100000000002</v>
      </c>
      <c r="M58" s="3">
        <f>1113.2/60</f>
        <v>18.553333333333335</v>
      </c>
      <c r="N58" s="3"/>
      <c r="O58" s="1" t="s">
        <v>50</v>
      </c>
      <c r="P58" s="6" t="s">
        <v>24</v>
      </c>
    </row>
    <row r="59" spans="1:16" x14ac:dyDescent="0.25">
      <c r="A59" s="1" t="s">
        <v>106</v>
      </c>
      <c r="B59" s="1" t="s">
        <v>20</v>
      </c>
      <c r="C59" s="1" t="s">
        <v>60</v>
      </c>
      <c r="D59" s="1" t="s">
        <v>184</v>
      </c>
      <c r="E59" s="11">
        <v>10</v>
      </c>
      <c r="F59" s="11">
        <v>11</v>
      </c>
      <c r="G59" s="4">
        <v>0.53400000000000003</v>
      </c>
      <c r="H59" s="4">
        <v>0.45500000000000002</v>
      </c>
      <c r="I59" s="4">
        <f t="shared" si="1"/>
        <v>7.9000000000000015E-2</v>
      </c>
      <c r="J59" s="11">
        <v>6.5</v>
      </c>
      <c r="K59" s="11">
        <v>22</v>
      </c>
      <c r="L59" s="3">
        <v>9.3346999999999998</v>
      </c>
      <c r="M59" s="3">
        <f>977.9/60</f>
        <v>16.298333333333332</v>
      </c>
      <c r="N59" s="3"/>
      <c r="O59" s="1" t="s">
        <v>50</v>
      </c>
      <c r="P59" s="6" t="s">
        <v>24</v>
      </c>
    </row>
    <row r="60" spans="1:16" x14ac:dyDescent="0.25">
      <c r="A60" s="1" t="s">
        <v>107</v>
      </c>
      <c r="B60" s="1" t="s">
        <v>21</v>
      </c>
      <c r="C60" s="1" t="s">
        <v>60</v>
      </c>
      <c r="D60" s="1" t="s">
        <v>184</v>
      </c>
      <c r="E60" s="11">
        <v>10</v>
      </c>
      <c r="F60" s="11">
        <v>12</v>
      </c>
      <c r="G60" s="4">
        <v>0.45400000000000001</v>
      </c>
      <c r="H60" s="4">
        <v>0.33600000000000002</v>
      </c>
      <c r="I60" s="4">
        <f t="shared" si="1"/>
        <v>0.11799999999999999</v>
      </c>
      <c r="J60" s="11">
        <v>5.5</v>
      </c>
      <c r="K60" s="11">
        <v>22</v>
      </c>
      <c r="L60" s="3">
        <v>13.503299999999999</v>
      </c>
      <c r="M60" s="3">
        <f>1021.8/60</f>
        <v>17.029999999999998</v>
      </c>
      <c r="N60" s="3"/>
      <c r="O60" s="1" t="s">
        <v>50</v>
      </c>
      <c r="P60" s="6" t="s">
        <v>25</v>
      </c>
    </row>
    <row r="61" spans="1:16" x14ac:dyDescent="0.25">
      <c r="A61" s="1" t="s">
        <v>108</v>
      </c>
      <c r="B61" s="1" t="s">
        <v>22</v>
      </c>
      <c r="C61" s="1" t="s">
        <v>60</v>
      </c>
      <c r="D61" s="1" t="s">
        <v>184</v>
      </c>
      <c r="E61" s="11">
        <v>12</v>
      </c>
      <c r="F61" s="11">
        <v>15</v>
      </c>
      <c r="G61" s="4">
        <v>0.33400000000000002</v>
      </c>
      <c r="H61" s="4">
        <v>0.21199999999999999</v>
      </c>
      <c r="I61" s="4">
        <f t="shared" si="1"/>
        <v>0.12200000000000003</v>
      </c>
      <c r="J61" s="11">
        <v>5.5</v>
      </c>
      <c r="K61" s="11">
        <v>22</v>
      </c>
      <c r="L61" s="3">
        <v>14.6981</v>
      </c>
      <c r="M61" s="3">
        <f>804.9/60</f>
        <v>13.414999999999999</v>
      </c>
      <c r="N61" s="3"/>
      <c r="O61" s="1" t="s">
        <v>50</v>
      </c>
      <c r="P61" s="1"/>
    </row>
    <row r="62" spans="1:16" x14ac:dyDescent="0.25">
      <c r="A62" s="1" t="s">
        <v>109</v>
      </c>
      <c r="B62" s="1" t="s">
        <v>26</v>
      </c>
      <c r="C62" s="1" t="s">
        <v>56</v>
      </c>
      <c r="D62" s="1" t="s">
        <v>68</v>
      </c>
      <c r="E62" s="11">
        <v>1</v>
      </c>
      <c r="F62" s="11">
        <v>5</v>
      </c>
      <c r="G62" s="4">
        <v>0.52900000000000003</v>
      </c>
      <c r="H62" s="4">
        <v>0.34499999999999997</v>
      </c>
      <c r="I62" s="4">
        <f t="shared" si="1"/>
        <v>0.18400000000000005</v>
      </c>
      <c r="J62" s="11">
        <v>1</v>
      </c>
      <c r="K62" s="11">
        <v>22</v>
      </c>
      <c r="L62" s="3">
        <v>19.234300000000001</v>
      </c>
      <c r="M62" s="3">
        <f>1468.9/60</f>
        <v>24.481666666666669</v>
      </c>
      <c r="N62" s="3"/>
      <c r="O62" s="1" t="s">
        <v>50</v>
      </c>
      <c r="P62" s="1" t="s">
        <v>53</v>
      </c>
    </row>
    <row r="63" spans="1:16" x14ac:dyDescent="0.25">
      <c r="A63" s="1" t="s">
        <v>110</v>
      </c>
      <c r="B63" s="1" t="s">
        <v>27</v>
      </c>
      <c r="C63" s="1" t="s">
        <v>56</v>
      </c>
      <c r="D63" s="1" t="s">
        <v>68</v>
      </c>
      <c r="E63" s="11">
        <v>5</v>
      </c>
      <c r="F63" s="11">
        <v>10</v>
      </c>
      <c r="G63" s="4">
        <v>0.34399999999999997</v>
      </c>
      <c r="H63" s="4">
        <v>0.2</v>
      </c>
      <c r="I63" s="4">
        <f t="shared" si="1"/>
        <v>0.14399999999999996</v>
      </c>
      <c r="J63" s="11">
        <v>3.5</v>
      </c>
      <c r="K63" s="11">
        <v>22</v>
      </c>
      <c r="L63" s="3">
        <v>17.527000000000001</v>
      </c>
      <c r="M63" s="3">
        <f>1366.4/60</f>
        <v>22.773333333333333</v>
      </c>
      <c r="N63" s="3"/>
      <c r="O63" s="1" t="s">
        <v>50</v>
      </c>
      <c r="P63" s="1" t="s">
        <v>79</v>
      </c>
    </row>
    <row r="64" spans="1:16" x14ac:dyDescent="0.25">
      <c r="A64" s="1" t="s">
        <v>111</v>
      </c>
      <c r="B64" s="1" t="s">
        <v>29</v>
      </c>
      <c r="C64" s="1" t="s">
        <v>60</v>
      </c>
      <c r="D64" s="1" t="s">
        <v>67</v>
      </c>
      <c r="E64" s="11">
        <v>11</v>
      </c>
      <c r="F64" s="11">
        <v>14</v>
      </c>
      <c r="G64" s="4">
        <v>0.315</v>
      </c>
      <c r="H64" s="4">
        <v>0.154</v>
      </c>
      <c r="I64" s="4">
        <f t="shared" si="1"/>
        <v>0.161</v>
      </c>
      <c r="J64" s="11">
        <v>3.5</v>
      </c>
      <c r="K64" s="11">
        <v>22</v>
      </c>
      <c r="L64" s="3">
        <v>15.833399999999999</v>
      </c>
      <c r="M64" s="3">
        <f>968.5/60</f>
        <v>16.141666666666666</v>
      </c>
      <c r="N64" s="3"/>
      <c r="O64" s="1" t="s">
        <v>50</v>
      </c>
      <c r="P64" s="1" t="s">
        <v>53</v>
      </c>
    </row>
    <row r="65" spans="1:16" x14ac:dyDescent="0.25">
      <c r="A65" s="1" t="s">
        <v>112</v>
      </c>
      <c r="B65" s="1" t="s">
        <v>28</v>
      </c>
      <c r="C65" s="1" t="s">
        <v>60</v>
      </c>
      <c r="D65" s="1" t="s">
        <v>70</v>
      </c>
      <c r="E65" s="11">
        <v>4</v>
      </c>
      <c r="F65" s="11">
        <v>6</v>
      </c>
      <c r="G65" s="4">
        <v>0.84199999999999997</v>
      </c>
      <c r="H65" s="4">
        <v>0.70399999999999996</v>
      </c>
      <c r="I65" s="4">
        <f t="shared" si="1"/>
        <v>0.13800000000000001</v>
      </c>
      <c r="J65" s="11">
        <v>0</v>
      </c>
      <c r="K65" s="11">
        <v>22</v>
      </c>
      <c r="L65" s="3">
        <v>14.8606</v>
      </c>
      <c r="M65" s="3">
        <f>920.8/60</f>
        <v>15.346666666666666</v>
      </c>
      <c r="N65" s="3"/>
      <c r="O65" s="1" t="s">
        <v>51</v>
      </c>
      <c r="P65" s="1"/>
    </row>
    <row r="66" spans="1:16" x14ac:dyDescent="0.25">
      <c r="A66" s="1" t="s">
        <v>113</v>
      </c>
      <c r="B66" s="1" t="s">
        <v>33</v>
      </c>
      <c r="C66" s="1" t="s">
        <v>60</v>
      </c>
      <c r="D66" s="1" t="s">
        <v>69</v>
      </c>
      <c r="E66" s="11">
        <v>6</v>
      </c>
      <c r="F66" s="11">
        <v>8</v>
      </c>
      <c r="G66" s="4">
        <v>0.72099999999999997</v>
      </c>
      <c r="H66" s="4">
        <v>0.57799999999999996</v>
      </c>
      <c r="I66" s="4">
        <f t="shared" si="1"/>
        <v>0.14300000000000002</v>
      </c>
      <c r="J66" s="16">
        <v>3.5</v>
      </c>
      <c r="K66" s="11">
        <v>22</v>
      </c>
      <c r="L66" s="3">
        <v>15.241400000000001</v>
      </c>
      <c r="M66" s="3">
        <f>1096.8/60</f>
        <v>18.279999999999998</v>
      </c>
      <c r="N66" s="3"/>
      <c r="O66" s="1" t="s">
        <v>50</v>
      </c>
      <c r="P66" s="1"/>
    </row>
    <row r="67" spans="1:16" x14ac:dyDescent="0.25">
      <c r="A67" s="1" t="s">
        <v>114</v>
      </c>
      <c r="B67" s="1" t="s">
        <v>34</v>
      </c>
      <c r="C67" s="1" t="s">
        <v>60</v>
      </c>
      <c r="D67" s="1" t="s">
        <v>67</v>
      </c>
      <c r="E67" s="11">
        <v>4</v>
      </c>
      <c r="F67" s="11">
        <v>7</v>
      </c>
      <c r="G67" s="4">
        <v>0.52600000000000002</v>
      </c>
      <c r="H67" s="4">
        <v>0.38100000000000001</v>
      </c>
      <c r="I67" s="4">
        <f t="shared" si="1"/>
        <v>0.14500000000000002</v>
      </c>
      <c r="J67" s="11">
        <v>2</v>
      </c>
      <c r="K67" s="11">
        <v>22</v>
      </c>
      <c r="L67" s="3">
        <v>14.2409</v>
      </c>
      <c r="M67" s="3">
        <f>795.7/60</f>
        <v>13.261666666666667</v>
      </c>
      <c r="N67" s="3"/>
      <c r="O67" s="1" t="s">
        <v>50</v>
      </c>
      <c r="P67" s="1"/>
    </row>
    <row r="68" spans="1:16" x14ac:dyDescent="0.25">
      <c r="A68" s="1" t="s">
        <v>115</v>
      </c>
      <c r="B68" s="1" t="s">
        <v>36</v>
      </c>
      <c r="C68" s="1" t="s">
        <v>60</v>
      </c>
      <c r="D68" s="1" t="s">
        <v>67</v>
      </c>
      <c r="E68" s="16">
        <v>11</v>
      </c>
      <c r="F68" s="16">
        <v>12</v>
      </c>
      <c r="G68" s="4">
        <v>0.77400000000000002</v>
      </c>
      <c r="H68" s="4">
        <v>0.71599999999999997</v>
      </c>
      <c r="I68" s="4">
        <f t="shared" si="1"/>
        <v>5.8000000000000052E-2</v>
      </c>
      <c r="J68" s="11">
        <v>4</v>
      </c>
      <c r="K68" s="16">
        <v>22</v>
      </c>
      <c r="L68" s="3">
        <v>7.0335000000000001</v>
      </c>
      <c r="M68" s="3">
        <f>547.9/60</f>
        <v>9.1316666666666659</v>
      </c>
      <c r="N68" s="3"/>
      <c r="O68" s="1" t="s">
        <v>50</v>
      </c>
      <c r="P68" s="6" t="s">
        <v>37</v>
      </c>
    </row>
    <row r="69" spans="1:16" x14ac:dyDescent="0.25">
      <c r="A69" s="1" t="s">
        <v>116</v>
      </c>
      <c r="B69" s="1" t="s">
        <v>38</v>
      </c>
      <c r="C69" s="1" t="s">
        <v>60</v>
      </c>
      <c r="D69" s="1" t="s">
        <v>67</v>
      </c>
      <c r="E69" s="11">
        <v>11</v>
      </c>
      <c r="F69" s="11">
        <v>11</v>
      </c>
      <c r="G69" s="4">
        <v>0.73899999999999999</v>
      </c>
      <c r="H69" s="4">
        <v>0.71299999999999997</v>
      </c>
      <c r="I69" s="4">
        <f t="shared" si="1"/>
        <v>2.6000000000000023E-2</v>
      </c>
      <c r="J69" s="11">
        <v>5.5</v>
      </c>
      <c r="K69" s="11">
        <v>22</v>
      </c>
      <c r="L69" s="3">
        <v>9.1432000000000002</v>
      </c>
      <c r="M69" s="3">
        <f>733.7/60</f>
        <v>12.228333333333333</v>
      </c>
      <c r="N69" s="3"/>
      <c r="O69" s="1" t="s">
        <v>50</v>
      </c>
      <c r="P69" s="6" t="s">
        <v>37</v>
      </c>
    </row>
    <row r="70" spans="1:16" x14ac:dyDescent="0.25">
      <c r="A70" s="1" t="s">
        <v>117</v>
      </c>
      <c r="B70" s="1" t="s">
        <v>35</v>
      </c>
      <c r="C70" s="1" t="s">
        <v>60</v>
      </c>
      <c r="D70" s="1" t="s">
        <v>69</v>
      </c>
      <c r="E70" s="11">
        <v>11</v>
      </c>
      <c r="F70" s="11">
        <v>13</v>
      </c>
      <c r="G70" s="4">
        <v>0.85399999999999998</v>
      </c>
      <c r="H70" s="4">
        <v>0.71499999999999997</v>
      </c>
      <c r="I70" s="4">
        <f t="shared" si="1"/>
        <v>0.13900000000000001</v>
      </c>
      <c r="J70" s="11">
        <v>4</v>
      </c>
      <c r="K70" s="11">
        <v>22</v>
      </c>
      <c r="L70" s="3">
        <v>15.4193</v>
      </c>
      <c r="M70" s="3">
        <f>1362.5/60</f>
        <v>22.708333333333332</v>
      </c>
      <c r="N70" s="3"/>
      <c r="O70" s="1" t="s">
        <v>50</v>
      </c>
      <c r="P70" s="1"/>
    </row>
    <row r="71" spans="1:16" x14ac:dyDescent="0.25">
      <c r="A71" s="1" t="s">
        <v>118</v>
      </c>
      <c r="B71" s="1" t="s">
        <v>39</v>
      </c>
      <c r="C71" s="1" t="s">
        <v>60</v>
      </c>
      <c r="D71" s="1" t="s">
        <v>68</v>
      </c>
      <c r="E71" s="11">
        <v>6</v>
      </c>
      <c r="F71" s="11">
        <v>10</v>
      </c>
      <c r="G71" s="4">
        <v>0.72099999999999997</v>
      </c>
      <c r="H71" s="4">
        <v>0.44500000000000001</v>
      </c>
      <c r="I71" s="4">
        <f t="shared" si="1"/>
        <v>0.27599999999999997</v>
      </c>
      <c r="J71" s="11">
        <v>4</v>
      </c>
      <c r="K71" s="11">
        <v>22</v>
      </c>
      <c r="L71" s="3">
        <v>38.718800000000002</v>
      </c>
      <c r="M71" s="3">
        <f>2852.2/60</f>
        <v>47.536666666666662</v>
      </c>
      <c r="N71" s="3"/>
      <c r="O71" s="1" t="s">
        <v>50</v>
      </c>
      <c r="P71" s="1" t="s">
        <v>55</v>
      </c>
    </row>
    <row r="72" spans="1:16" x14ac:dyDescent="0.25">
      <c r="A72" s="1" t="s">
        <v>119</v>
      </c>
      <c r="B72" s="1" t="s">
        <v>40</v>
      </c>
      <c r="C72" s="1" t="s">
        <v>65</v>
      </c>
      <c r="D72" s="1" t="s">
        <v>184</v>
      </c>
      <c r="E72" s="11">
        <v>8</v>
      </c>
      <c r="F72" s="11">
        <v>10</v>
      </c>
      <c r="G72" s="4">
        <v>0.83799999999999997</v>
      </c>
      <c r="H72" s="4">
        <v>0.68</v>
      </c>
      <c r="I72" s="4">
        <f t="shared" si="1"/>
        <v>0.15799999999999992</v>
      </c>
      <c r="J72" s="11">
        <v>-3</v>
      </c>
      <c r="K72" s="11">
        <v>22</v>
      </c>
      <c r="L72" s="3">
        <v>17.462599999999998</v>
      </c>
      <c r="M72" s="3">
        <f>1417.2/60</f>
        <v>23.62</v>
      </c>
      <c r="N72" s="3"/>
      <c r="O72" s="1" t="s">
        <v>50</v>
      </c>
      <c r="P72" s="1"/>
    </row>
    <row r="73" spans="1:16" x14ac:dyDescent="0.25">
      <c r="A73" s="1" t="s">
        <v>120</v>
      </c>
      <c r="B73" s="1" t="s">
        <v>41</v>
      </c>
      <c r="C73" s="1" t="s">
        <v>66</v>
      </c>
      <c r="D73" s="1" t="s">
        <v>68</v>
      </c>
      <c r="E73" s="11">
        <v>-1</v>
      </c>
      <c r="F73" s="11">
        <v>3</v>
      </c>
      <c r="G73" s="4">
        <v>0.65</v>
      </c>
      <c r="H73" s="4">
        <v>0.48799999999999999</v>
      </c>
      <c r="I73" s="4">
        <f t="shared" si="1"/>
        <v>0.16200000000000003</v>
      </c>
      <c r="J73" s="11">
        <v>-1.5</v>
      </c>
      <c r="K73" s="11">
        <v>22</v>
      </c>
      <c r="L73" s="3">
        <v>18.902200000000001</v>
      </c>
      <c r="M73" s="3">
        <f>1642.8/60</f>
        <v>27.38</v>
      </c>
      <c r="N73" s="3"/>
      <c r="O73" s="1" t="s">
        <v>50</v>
      </c>
      <c r="P73" s="1" t="s">
        <v>54</v>
      </c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3"/>
      <c r="M74" s="3"/>
      <c r="N74" s="3"/>
      <c r="O74" s="1"/>
    </row>
  </sheetData>
  <autoFilter ref="A1:P1" xr:uid="{744D3334-EE22-3A42-9F1F-9FCC8A6E4673}">
    <sortState xmlns:xlrd2="http://schemas.microsoft.com/office/spreadsheetml/2017/richdata2" ref="A2:P73">
      <sortCondition ref="A1"/>
    </sortState>
  </autoFilter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Steinsträter, Matthias</dc:creator>
  <cp:lastModifiedBy>Frank Ivey</cp:lastModifiedBy>
  <dcterms:created xsi:type="dcterms:W3CDTF">2019-12-07T10:51:47Z</dcterms:created>
  <dcterms:modified xsi:type="dcterms:W3CDTF">2023-02-04T19:57:12Z</dcterms:modified>
</cp:coreProperties>
</file>