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내 드라이브\2022 1학기\Engineering Economy\Assignments\"/>
    </mc:Choice>
  </mc:AlternateContent>
  <xr:revisionPtr revIDLastSave="0" documentId="13_ncr:1_{E5C728E5-31BD-4B3F-A16B-1CD5E1908050}" xr6:coauthVersionLast="47" xr6:coauthVersionMax="47" xr10:uidLastSave="{00000000-0000-0000-0000-000000000000}"/>
  <bookViews>
    <workbookView xWindow="-120" yWindow="-120" windowWidth="29040" windowHeight="15720" xr2:uid="{06F6D7BE-FFF2-495B-9D0D-EFC270FBC9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5" i="1" l="1"/>
  <c r="I94" i="1"/>
  <c r="D7" i="1"/>
  <c r="M175" i="1" l="1"/>
  <c r="L175" i="1"/>
  <c r="M172" i="1"/>
  <c r="L172" i="1"/>
  <c r="M171" i="1"/>
  <c r="L171" i="1"/>
  <c r="M166" i="1"/>
  <c r="M167" i="1"/>
  <c r="M168" i="1"/>
  <c r="M169" i="1"/>
  <c r="M170" i="1"/>
  <c r="M165" i="1"/>
  <c r="M164" i="1"/>
  <c r="L166" i="1"/>
  <c r="L167" i="1"/>
  <c r="L168" i="1"/>
  <c r="L169" i="1"/>
  <c r="L170" i="1"/>
  <c r="L165" i="1"/>
  <c r="K166" i="1"/>
  <c r="K167" i="1"/>
  <c r="K168" i="1"/>
  <c r="K169" i="1"/>
  <c r="K170" i="1"/>
  <c r="K165" i="1"/>
  <c r="H149" i="1"/>
  <c r="J166" i="1"/>
  <c r="J167" i="1"/>
  <c r="J168" i="1"/>
  <c r="J169" i="1"/>
  <c r="J170" i="1"/>
  <c r="J165" i="1"/>
  <c r="I166" i="1"/>
  <c r="I167" i="1"/>
  <c r="I168" i="1"/>
  <c r="I169" i="1"/>
  <c r="I170" i="1"/>
  <c r="I165" i="1"/>
  <c r="F156" i="1"/>
  <c r="H166" i="1"/>
  <c r="H167" i="1"/>
  <c r="H168" i="1"/>
  <c r="H169" i="1"/>
  <c r="H170" i="1"/>
  <c r="H165" i="1"/>
  <c r="G166" i="1"/>
  <c r="G167" i="1" s="1"/>
  <c r="G168" i="1" s="1"/>
  <c r="G169" i="1" s="1"/>
  <c r="G170" i="1" s="1"/>
  <c r="G165" i="1"/>
  <c r="G164" i="1"/>
  <c r="F166" i="1"/>
  <c r="F167" i="1"/>
  <c r="F168" i="1"/>
  <c r="F169" i="1"/>
  <c r="F170" i="1"/>
  <c r="F165" i="1"/>
  <c r="C166" i="1"/>
  <c r="C167" i="1"/>
  <c r="C168" i="1"/>
  <c r="C169" i="1"/>
  <c r="C170" i="1"/>
  <c r="C165" i="1"/>
  <c r="B165" i="1"/>
  <c r="B166" i="1"/>
  <c r="B167" i="1"/>
  <c r="B168" i="1"/>
  <c r="B169" i="1"/>
  <c r="B170" i="1"/>
  <c r="K158" i="1"/>
  <c r="J158" i="1"/>
  <c r="K157" i="1"/>
  <c r="J157" i="1"/>
  <c r="K148" i="1"/>
  <c r="K150" i="1"/>
  <c r="K151" i="1"/>
  <c r="K152" i="1"/>
  <c r="K153" i="1"/>
  <c r="K154" i="1"/>
  <c r="K155" i="1"/>
  <c r="K156" i="1"/>
  <c r="K149" i="1"/>
  <c r="J150" i="1"/>
  <c r="J151" i="1"/>
  <c r="J152" i="1"/>
  <c r="J153" i="1"/>
  <c r="J154" i="1"/>
  <c r="J155" i="1"/>
  <c r="J156" i="1"/>
  <c r="J149" i="1"/>
  <c r="I150" i="1"/>
  <c r="I151" i="1"/>
  <c r="I152" i="1"/>
  <c r="I153" i="1"/>
  <c r="I154" i="1"/>
  <c r="I155" i="1"/>
  <c r="I156" i="1"/>
  <c r="I149" i="1"/>
  <c r="H150" i="1"/>
  <c r="H151" i="1"/>
  <c r="H152" i="1"/>
  <c r="H153" i="1"/>
  <c r="H154" i="1"/>
  <c r="H155" i="1"/>
  <c r="H156" i="1"/>
  <c r="G150" i="1"/>
  <c r="G151" i="1"/>
  <c r="G152" i="1"/>
  <c r="G153" i="1"/>
  <c r="G154" i="1"/>
  <c r="G155" i="1"/>
  <c r="G156" i="1"/>
  <c r="G149" i="1"/>
  <c r="F150" i="1"/>
  <c r="F151" i="1"/>
  <c r="F152" i="1"/>
  <c r="F153" i="1"/>
  <c r="F154" i="1"/>
  <c r="F155" i="1"/>
  <c r="F149" i="1"/>
  <c r="E150" i="1"/>
  <c r="E151" i="1" s="1"/>
  <c r="E152" i="1" s="1"/>
  <c r="E153" i="1" s="1"/>
  <c r="E149" i="1"/>
  <c r="E148" i="1"/>
  <c r="D150" i="1"/>
  <c r="D151" i="1"/>
  <c r="D152" i="1"/>
  <c r="D153" i="1"/>
  <c r="D149" i="1"/>
  <c r="C150" i="1"/>
  <c r="C151" i="1" s="1"/>
  <c r="C152" i="1" s="1"/>
  <c r="C153" i="1" s="1"/>
  <c r="C154" i="1" s="1"/>
  <c r="C155" i="1" s="1"/>
  <c r="C156" i="1" s="1"/>
  <c r="K144" i="1"/>
  <c r="J144" i="1"/>
  <c r="K143" i="1"/>
  <c r="K134" i="1"/>
  <c r="J143" i="1"/>
  <c r="K136" i="1"/>
  <c r="K137" i="1"/>
  <c r="K138" i="1"/>
  <c r="K139" i="1"/>
  <c r="K140" i="1"/>
  <c r="K141" i="1"/>
  <c r="K142" i="1"/>
  <c r="K135" i="1"/>
  <c r="J136" i="1"/>
  <c r="J137" i="1"/>
  <c r="J138" i="1"/>
  <c r="J139" i="1"/>
  <c r="J140" i="1"/>
  <c r="J141" i="1"/>
  <c r="J142" i="1"/>
  <c r="J135" i="1"/>
  <c r="I142" i="1"/>
  <c r="I136" i="1"/>
  <c r="I137" i="1"/>
  <c r="I138" i="1"/>
  <c r="I139" i="1"/>
  <c r="I140" i="1"/>
  <c r="I141" i="1"/>
  <c r="I135" i="1"/>
  <c r="H136" i="1"/>
  <c r="H137" i="1"/>
  <c r="H138" i="1"/>
  <c r="H139" i="1"/>
  <c r="H140" i="1"/>
  <c r="H141" i="1"/>
  <c r="H142" i="1"/>
  <c r="H135" i="1"/>
  <c r="G136" i="1"/>
  <c r="G137" i="1"/>
  <c r="G138" i="1"/>
  <c r="G139" i="1"/>
  <c r="G140" i="1"/>
  <c r="G141" i="1"/>
  <c r="G142" i="1"/>
  <c r="G135" i="1"/>
  <c r="F136" i="1"/>
  <c r="F137" i="1"/>
  <c r="F138" i="1"/>
  <c r="F139" i="1"/>
  <c r="F140" i="1"/>
  <c r="F141" i="1"/>
  <c r="F142" i="1"/>
  <c r="F135" i="1"/>
  <c r="E136" i="1"/>
  <c r="E137" i="1" s="1"/>
  <c r="E138" i="1" s="1"/>
  <c r="E139" i="1" s="1"/>
  <c r="E140" i="1" s="1"/>
  <c r="E141" i="1" s="1"/>
  <c r="E142" i="1" s="1"/>
  <c r="E135" i="1"/>
  <c r="E134" i="1"/>
  <c r="D136" i="1"/>
  <c r="D137" i="1"/>
  <c r="D138" i="1"/>
  <c r="D139" i="1"/>
  <c r="D140" i="1"/>
  <c r="D141" i="1"/>
  <c r="D142" i="1"/>
  <c r="D135" i="1"/>
  <c r="C137" i="1"/>
  <c r="C138" i="1" s="1"/>
  <c r="C139" i="1" s="1"/>
  <c r="C140" i="1" s="1"/>
  <c r="C141" i="1" s="1"/>
  <c r="C142" i="1" s="1"/>
  <c r="C136" i="1"/>
  <c r="E126" i="1"/>
  <c r="E117" i="1"/>
  <c r="E118" i="1"/>
  <c r="E119" i="1"/>
  <c r="E120" i="1"/>
  <c r="E121" i="1"/>
  <c r="E122" i="1"/>
  <c r="E123" i="1"/>
  <c r="E124" i="1"/>
  <c r="E125" i="1"/>
  <c r="E116" i="1"/>
  <c r="F125" i="1" s="1"/>
  <c r="E107" i="1"/>
  <c r="E108" i="1"/>
  <c r="E109" i="1"/>
  <c r="E110" i="1"/>
  <c r="E106" i="1"/>
  <c r="D116" i="1"/>
  <c r="F107" i="1"/>
  <c r="F108" i="1"/>
  <c r="F109" i="1"/>
  <c r="G109" i="1" s="1"/>
  <c r="H109" i="1" s="1"/>
  <c r="F110" i="1"/>
  <c r="F106" i="1"/>
  <c r="A109" i="1"/>
  <c r="A108" i="1" s="1"/>
  <c r="A107" i="1" s="1"/>
  <c r="A106" i="1" s="1"/>
  <c r="A105" i="1" s="1"/>
  <c r="F124" i="1" l="1"/>
  <c r="G124" i="1" s="1"/>
  <c r="H124" i="1" s="1"/>
  <c r="I124" i="1" s="1"/>
  <c r="G125" i="1"/>
  <c r="H125" i="1" s="1"/>
  <c r="I125" i="1" s="1"/>
  <c r="F123" i="1"/>
  <c r="G123" i="1" s="1"/>
  <c r="H123" i="1" s="1"/>
  <c r="I123" i="1" s="1"/>
  <c r="F122" i="1"/>
  <c r="G122" i="1" s="1"/>
  <c r="H122" i="1" s="1"/>
  <c r="I122" i="1" s="1"/>
  <c r="F121" i="1"/>
  <c r="G121" i="1" s="1"/>
  <c r="H121" i="1" s="1"/>
  <c r="I121" i="1" s="1"/>
  <c r="F120" i="1"/>
  <c r="G120" i="1" s="1"/>
  <c r="H120" i="1" s="1"/>
  <c r="I120" i="1" s="1"/>
  <c r="F117" i="1"/>
  <c r="G117" i="1" s="1"/>
  <c r="H117" i="1" s="1"/>
  <c r="I117" i="1" s="1"/>
  <c r="F119" i="1"/>
  <c r="G119" i="1" s="1"/>
  <c r="H119" i="1" s="1"/>
  <c r="I119" i="1" s="1"/>
  <c r="F126" i="1"/>
  <c r="F118" i="1"/>
  <c r="G118" i="1" s="1"/>
  <c r="H118" i="1" s="1"/>
  <c r="I118" i="1" s="1"/>
  <c r="I116" i="1"/>
  <c r="G126" i="1"/>
  <c r="H126" i="1" s="1"/>
  <c r="I126" i="1" s="1"/>
  <c r="G106" i="1"/>
  <c r="H106" i="1" s="1"/>
  <c r="I106" i="1" s="1"/>
  <c r="I111" i="1" s="1"/>
  <c r="I112" i="1" s="1"/>
  <c r="I109" i="1"/>
  <c r="G107" i="1"/>
  <c r="H107" i="1" s="1"/>
  <c r="I107" i="1" s="1"/>
  <c r="G110" i="1"/>
  <c r="H110" i="1" s="1"/>
  <c r="I110" i="1" s="1"/>
  <c r="G108" i="1"/>
  <c r="H108" i="1" s="1"/>
  <c r="I108" i="1" s="1"/>
  <c r="I127" i="1" l="1"/>
  <c r="I128" i="1" s="1"/>
  <c r="G90" i="1" l="1"/>
  <c r="H90" i="1" s="1"/>
  <c r="E92" i="1" l="1"/>
  <c r="E93" i="1"/>
  <c r="G93" i="1" s="1"/>
  <c r="H93" i="1" s="1"/>
  <c r="E91" i="1"/>
  <c r="D90" i="1"/>
  <c r="E90" i="1" s="1"/>
  <c r="I90" i="1" s="1"/>
  <c r="E81" i="1"/>
  <c r="E82" i="1"/>
  <c r="E83" i="1"/>
  <c r="E80" i="1"/>
  <c r="I80" i="1" s="1"/>
  <c r="F81" i="1"/>
  <c r="F82" i="1"/>
  <c r="F83" i="1"/>
  <c r="B71" i="1"/>
  <c r="B70" i="1"/>
  <c r="E52" i="1"/>
  <c r="B56" i="1"/>
  <c r="B55" i="1"/>
  <c r="F64" i="1"/>
  <c r="F65" i="1"/>
  <c r="F66" i="1"/>
  <c r="F67" i="1"/>
  <c r="F63" i="1"/>
  <c r="F49" i="1"/>
  <c r="F50" i="1"/>
  <c r="F51" i="1"/>
  <c r="F52" i="1"/>
  <c r="F48" i="1"/>
  <c r="E63" i="1"/>
  <c r="E64" i="1"/>
  <c r="E65" i="1"/>
  <c r="E66" i="1"/>
  <c r="E67" i="1"/>
  <c r="E62" i="1"/>
  <c r="I62" i="1" s="1"/>
  <c r="E48" i="1"/>
  <c r="E49" i="1"/>
  <c r="E50" i="1"/>
  <c r="E51" i="1"/>
  <c r="E47" i="1"/>
  <c r="I47" i="1" s="1"/>
  <c r="G35" i="1"/>
  <c r="E39" i="1"/>
  <c r="F39" i="1" s="1"/>
  <c r="G39" i="1" s="1"/>
  <c r="E37" i="1"/>
  <c r="F37" i="1" s="1"/>
  <c r="G37" i="1" s="1"/>
  <c r="E38" i="1"/>
  <c r="F38" i="1" s="1"/>
  <c r="G38" i="1" s="1"/>
  <c r="E36" i="1"/>
  <c r="F36" i="1" s="1"/>
  <c r="G36" i="1" s="1"/>
  <c r="G20" i="1"/>
  <c r="H20" i="1" s="1"/>
  <c r="F13" i="1"/>
  <c r="G13" i="1" s="1"/>
  <c r="H13" i="1" s="1"/>
  <c r="F14" i="1"/>
  <c r="G14" i="1" s="1"/>
  <c r="H14" i="1" s="1"/>
  <c r="D8" i="1"/>
  <c r="F8" i="1" s="1"/>
  <c r="D9" i="1"/>
  <c r="F9" i="1" s="1"/>
  <c r="D10" i="1"/>
  <c r="F10" i="1" s="1"/>
  <c r="G10" i="1" s="1"/>
  <c r="H10" i="1" s="1"/>
  <c r="D11" i="1"/>
  <c r="F11" i="1" s="1"/>
  <c r="G11" i="1" s="1"/>
  <c r="H11" i="1" s="1"/>
  <c r="D12" i="1"/>
  <c r="F12" i="1" s="1"/>
  <c r="E7" i="1"/>
  <c r="D22" i="1"/>
  <c r="F22" i="1" s="1"/>
  <c r="G22" i="1" s="1"/>
  <c r="D23" i="1"/>
  <c r="F23" i="1" s="1"/>
  <c r="G23" i="1" s="1"/>
  <c r="H23" i="1" s="1"/>
  <c r="D24" i="1"/>
  <c r="F24" i="1" s="1"/>
  <c r="G24" i="1" s="1"/>
  <c r="H24" i="1" s="1"/>
  <c r="D25" i="1"/>
  <c r="F25" i="1" s="1"/>
  <c r="G25" i="1" s="1"/>
  <c r="H25" i="1" s="1"/>
  <c r="D26" i="1"/>
  <c r="F26" i="1" s="1"/>
  <c r="G26" i="1" s="1"/>
  <c r="H26" i="1" s="1"/>
  <c r="D27" i="1"/>
  <c r="F27" i="1" s="1"/>
  <c r="G27" i="1" s="1"/>
  <c r="H27" i="1" s="1"/>
  <c r="D28" i="1"/>
  <c r="F28" i="1" s="1"/>
  <c r="G28" i="1" s="1"/>
  <c r="H28" i="1" s="1"/>
  <c r="D21" i="1"/>
  <c r="E21" i="1" s="1"/>
  <c r="D18" i="1"/>
  <c r="B96" i="1" l="1"/>
  <c r="G83" i="1"/>
  <c r="H83" i="1" s="1"/>
  <c r="G82" i="1"/>
  <c r="H82" i="1" s="1"/>
  <c r="I82" i="1" s="1"/>
  <c r="G81" i="1"/>
  <c r="H81" i="1" s="1"/>
  <c r="I81" i="1" s="1"/>
  <c r="G92" i="1"/>
  <c r="H92" i="1" s="1"/>
  <c r="I92" i="1" s="1"/>
  <c r="I83" i="1"/>
  <c r="B86" i="1" s="1"/>
  <c r="B87" i="1" s="1"/>
  <c r="I93" i="1"/>
  <c r="B97" i="1" s="1"/>
  <c r="B98" i="1" s="1"/>
  <c r="G91" i="1"/>
  <c r="H91" i="1" s="1"/>
  <c r="I91" i="1" s="1"/>
  <c r="G52" i="1"/>
  <c r="H52" i="1" s="1"/>
  <c r="I52" i="1" s="1"/>
  <c r="E8" i="1"/>
  <c r="E9" i="1" s="1"/>
  <c r="E10" i="1" s="1"/>
  <c r="E11" i="1" s="1"/>
  <c r="E12" i="1" s="1"/>
  <c r="E13" i="1" s="1"/>
  <c r="E14" i="1" s="1"/>
  <c r="B41" i="1"/>
  <c r="G51" i="1"/>
  <c r="H51" i="1" s="1"/>
  <c r="I51" i="1" s="1"/>
  <c r="B57" i="1" s="1"/>
  <c r="B58" i="1" s="1"/>
  <c r="G67" i="1"/>
  <c r="H67" i="1" s="1"/>
  <c r="I67" i="1" s="1"/>
  <c r="G50" i="1"/>
  <c r="H50" i="1" s="1"/>
  <c r="I50" i="1" s="1"/>
  <c r="E22" i="1"/>
  <c r="E23" i="1" s="1"/>
  <c r="E24" i="1" s="1"/>
  <c r="E25" i="1" s="1"/>
  <c r="E26" i="1" s="1"/>
  <c r="E27" i="1" s="1"/>
  <c r="E28" i="1" s="1"/>
  <c r="G63" i="1"/>
  <c r="H63" i="1" s="1"/>
  <c r="I63" i="1" s="1"/>
  <c r="F7" i="1"/>
  <c r="G7" i="1" s="1"/>
  <c r="F21" i="1"/>
  <c r="G21" i="1" s="1"/>
  <c r="G49" i="1"/>
  <c r="H49" i="1" s="1"/>
  <c r="I49" i="1" s="1"/>
  <c r="G66" i="1"/>
  <c r="H66" i="1" s="1"/>
  <c r="I66" i="1" s="1"/>
  <c r="B72" i="1" s="1"/>
  <c r="B73" i="1" s="1"/>
  <c r="G48" i="1"/>
  <c r="H48" i="1" s="1"/>
  <c r="I48" i="1" s="1"/>
  <c r="G65" i="1"/>
  <c r="H65" i="1" s="1"/>
  <c r="I65" i="1" s="1"/>
  <c r="G64" i="1"/>
  <c r="H64" i="1" s="1"/>
  <c r="I64" i="1" s="1"/>
  <c r="H22" i="1"/>
  <c r="G12" i="1"/>
  <c r="H12" i="1" s="1"/>
  <c r="G9" i="1"/>
  <c r="H9" i="1" s="1"/>
  <c r="G8" i="1"/>
  <c r="H8" i="1" s="1"/>
  <c r="G16" i="1" l="1"/>
  <c r="H21" i="1"/>
  <c r="G30" i="1"/>
  <c r="G29" i="1"/>
  <c r="H7" i="1"/>
  <c r="G15" i="1"/>
</calcChain>
</file>

<file path=xl/sharedStrings.xml><?xml version="1.0" encoding="utf-8"?>
<sst xmlns="http://schemas.openxmlformats.org/spreadsheetml/2006/main" count="163" uniqueCount="59">
  <si>
    <t>SL</t>
    <phoneticPr fontId="2" type="noConversion"/>
  </si>
  <si>
    <t>Year</t>
    <phoneticPr fontId="2" type="noConversion"/>
  </si>
  <si>
    <t>CFBT</t>
    <phoneticPr fontId="2" type="noConversion"/>
  </si>
  <si>
    <t>D</t>
    <phoneticPr fontId="2" type="noConversion"/>
  </si>
  <si>
    <t>TI</t>
    <phoneticPr fontId="2" type="noConversion"/>
  </si>
  <si>
    <t>Taxes</t>
    <phoneticPr fontId="2" type="noConversion"/>
  </si>
  <si>
    <t>CFAT</t>
    <phoneticPr fontId="2" type="noConversion"/>
  </si>
  <si>
    <t>B &amp; S</t>
    <phoneticPr fontId="2" type="noConversion"/>
  </si>
  <si>
    <t>Tax</t>
    <phoneticPr fontId="2" type="noConversion"/>
  </si>
  <si>
    <t>DDB</t>
    <phoneticPr fontId="2" type="noConversion"/>
  </si>
  <si>
    <t>Total</t>
    <phoneticPr fontId="2" type="noConversion"/>
  </si>
  <si>
    <t>SP</t>
    <phoneticPr fontId="2" type="noConversion"/>
  </si>
  <si>
    <t>Te</t>
    <phoneticPr fontId="2" type="noConversion"/>
  </si>
  <si>
    <t>Taxible Income</t>
    <phoneticPr fontId="2" type="noConversion"/>
  </si>
  <si>
    <t>PW of tax</t>
    <phoneticPr fontId="2" type="noConversion"/>
  </si>
  <si>
    <t>i</t>
    <phoneticPr fontId="2" type="noConversion"/>
  </si>
  <si>
    <t>BV</t>
    <phoneticPr fontId="2" type="noConversion"/>
  </si>
  <si>
    <t>D (d=2/8)</t>
    <phoneticPr fontId="2" type="noConversion"/>
  </si>
  <si>
    <t>d</t>
    <phoneticPr fontId="2" type="noConversion"/>
  </si>
  <si>
    <t>Total tax</t>
    <phoneticPr fontId="2" type="noConversion"/>
  </si>
  <si>
    <t>SL Taxes</t>
    <phoneticPr fontId="2" type="noConversion"/>
  </si>
  <si>
    <t>DDB Taxes</t>
    <phoneticPr fontId="2" type="noConversion"/>
  </si>
  <si>
    <t>SL D</t>
    <phoneticPr fontId="2" type="noConversion"/>
  </si>
  <si>
    <t>PW(i=5%)</t>
    <phoneticPr fontId="2" type="noConversion"/>
  </si>
  <si>
    <t>&lt;0</t>
    <phoneticPr fontId="2" type="noConversion"/>
  </si>
  <si>
    <t>Thomas' recomnend is wrong</t>
    <phoneticPr fontId="2" type="noConversion"/>
  </si>
  <si>
    <t>P &amp; S</t>
    <phoneticPr fontId="2" type="noConversion"/>
  </si>
  <si>
    <t>AOC</t>
    <phoneticPr fontId="2" type="noConversion"/>
  </si>
  <si>
    <t>Saving</t>
    <phoneticPr fontId="2" type="noConversion"/>
  </si>
  <si>
    <t>G</t>
    <phoneticPr fontId="2" type="noConversion"/>
  </si>
  <si>
    <t>H</t>
    <phoneticPr fontId="2" type="noConversion"/>
  </si>
  <si>
    <t>AW</t>
    <phoneticPr fontId="2" type="noConversion"/>
  </si>
  <si>
    <t>P</t>
    <phoneticPr fontId="2" type="noConversion"/>
  </si>
  <si>
    <t>S</t>
    <phoneticPr fontId="2" type="noConversion"/>
  </si>
  <si>
    <t>Select H, same with MACRS</t>
    <phoneticPr fontId="2" type="noConversion"/>
  </si>
  <si>
    <t>Defender Age</t>
    <phoneticPr fontId="2" type="noConversion"/>
  </si>
  <si>
    <t>OE</t>
    <phoneticPr fontId="2" type="noConversion"/>
  </si>
  <si>
    <t>Challenger</t>
    <phoneticPr fontId="2" type="noConversion"/>
  </si>
  <si>
    <t>Keep Defender</t>
    <phoneticPr fontId="2" type="noConversion"/>
  </si>
  <si>
    <t>AW 10%</t>
    <phoneticPr fontId="2" type="noConversion"/>
  </si>
  <si>
    <t>PW 10%</t>
    <phoneticPr fontId="2" type="noConversion"/>
  </si>
  <si>
    <t>Select Defender</t>
    <phoneticPr fontId="2" type="noConversion"/>
  </si>
  <si>
    <t>GI-OE</t>
    <phoneticPr fontId="2" type="noConversion"/>
  </si>
  <si>
    <t>NOPAT</t>
    <phoneticPr fontId="2" type="noConversion"/>
  </si>
  <si>
    <t>Cost of investment</t>
    <phoneticPr fontId="2" type="noConversion"/>
  </si>
  <si>
    <t>EVA</t>
    <phoneticPr fontId="2" type="noConversion"/>
  </si>
  <si>
    <t>PW 8%</t>
    <phoneticPr fontId="2" type="noConversion"/>
  </si>
  <si>
    <t>AW 8%</t>
    <phoneticPr fontId="2" type="noConversion"/>
  </si>
  <si>
    <t>Hong Kong</t>
    <phoneticPr fontId="2" type="noConversion"/>
  </si>
  <si>
    <t>Vietnam</t>
    <phoneticPr fontId="2" type="noConversion"/>
  </si>
  <si>
    <t>Select Vietnam</t>
    <phoneticPr fontId="2" type="noConversion"/>
  </si>
  <si>
    <t>GI</t>
    <phoneticPr fontId="2" type="noConversion"/>
  </si>
  <si>
    <t>D rate(MACRS)</t>
    <phoneticPr fontId="2" type="noConversion"/>
  </si>
  <si>
    <t>Cost of Inv.</t>
    <phoneticPr fontId="2" type="noConversion"/>
  </si>
  <si>
    <t>PW 12%</t>
    <phoneticPr fontId="2" type="noConversion"/>
  </si>
  <si>
    <t>AW 12%</t>
    <phoneticPr fontId="2" type="noConversion"/>
  </si>
  <si>
    <t>AW n%</t>
    <phoneticPr fontId="2" type="noConversion"/>
  </si>
  <si>
    <t>MARR</t>
    <phoneticPr fontId="2" type="noConversion"/>
  </si>
  <si>
    <t>PW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</si>
</sst>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₩&quot;#,##0;[Red]\-&quot;₩&quot;#,##0"/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0" xfId="1" applyNumberFormat="1" applyFont="1" applyFill="1" applyBorder="1">
      <alignment vertical="center"/>
    </xf>
    <xf numFmtId="0" fontId="0" fillId="2" borderId="11" xfId="1" applyNumberFormat="1" applyFont="1" applyFill="1" applyBorder="1">
      <alignment vertical="center"/>
    </xf>
    <xf numFmtId="0" fontId="0" fillId="2" borderId="12" xfId="1" applyNumberFormat="1" applyFont="1" applyFill="1" applyBorder="1">
      <alignment vertical="center"/>
    </xf>
    <xf numFmtId="0" fontId="0" fillId="2" borderId="2" xfId="1" applyNumberFormat="1" applyFont="1" applyFill="1" applyBorder="1">
      <alignment vertical="center"/>
    </xf>
    <xf numFmtId="0" fontId="0" fillId="2" borderId="3" xfId="1" applyNumberFormat="1" applyFont="1" applyFill="1" applyBorder="1">
      <alignment vertical="center"/>
    </xf>
    <xf numFmtId="0" fontId="0" fillId="2" borderId="5" xfId="1" applyNumberFormat="1" applyFont="1" applyFill="1" applyBorder="1">
      <alignment vertical="center"/>
    </xf>
    <xf numFmtId="0" fontId="0" fillId="2" borderId="0" xfId="1" applyNumberFormat="1" applyFont="1" applyFill="1" applyBorder="1">
      <alignment vertical="center"/>
    </xf>
    <xf numFmtId="0" fontId="0" fillId="2" borderId="7" xfId="1" applyNumberFormat="1" applyFont="1" applyFill="1" applyBorder="1">
      <alignment vertical="center"/>
    </xf>
    <xf numFmtId="0" fontId="0" fillId="2" borderId="8" xfId="1" applyNumberFormat="1" applyFont="1" applyFill="1" applyBorder="1">
      <alignment vertical="center"/>
    </xf>
    <xf numFmtId="1" fontId="0" fillId="2" borderId="8" xfId="1" applyNumberFormat="1" applyFont="1" applyFill="1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1" fontId="0" fillId="2" borderId="0" xfId="1" applyNumberFormat="1" applyFont="1" applyFill="1" applyBorder="1">
      <alignment vertical="center"/>
    </xf>
    <xf numFmtId="1" fontId="0" fillId="2" borderId="6" xfId="1" applyNumberFormat="1" applyFont="1" applyFill="1" applyBorder="1">
      <alignment vertical="center"/>
    </xf>
    <xf numFmtId="1" fontId="0" fillId="2" borderId="0" xfId="0" applyNumberFormat="1" applyFill="1" applyBorder="1">
      <alignment vertical="center"/>
    </xf>
    <xf numFmtId="0" fontId="0" fillId="2" borderId="7" xfId="0" applyNumberFormat="1" applyFill="1" applyBorder="1">
      <alignment vertical="center"/>
    </xf>
    <xf numFmtId="1" fontId="0" fillId="2" borderId="8" xfId="0" applyNumberFormat="1" applyFill="1" applyBorder="1">
      <alignment vertical="center"/>
    </xf>
    <xf numFmtId="1" fontId="0" fillId="2" borderId="6" xfId="0" applyNumberFormat="1" applyFill="1" applyBorder="1">
      <alignment vertical="center"/>
    </xf>
    <xf numFmtId="1" fontId="0" fillId="2" borderId="9" xfId="0" applyNumberFormat="1" applyFill="1" applyBorder="1">
      <alignment vertical="center"/>
    </xf>
    <xf numFmtId="9" fontId="0" fillId="2" borderId="12" xfId="1" applyNumberFormat="1" applyFont="1" applyFill="1" applyBorder="1">
      <alignment vertical="center"/>
    </xf>
    <xf numFmtId="0" fontId="0" fillId="2" borderId="1" xfId="1" applyNumberFormat="1" applyFont="1" applyFill="1" applyBorder="1">
      <alignment vertical="center"/>
    </xf>
    <xf numFmtId="0" fontId="0" fillId="2" borderId="13" xfId="1" applyNumberFormat="1" applyFont="1" applyFill="1" applyBorder="1">
      <alignment vertical="center"/>
    </xf>
    <xf numFmtId="1" fontId="0" fillId="2" borderId="13" xfId="1" applyNumberFormat="1" applyFont="1" applyFill="1" applyBorder="1">
      <alignment vertical="center"/>
    </xf>
    <xf numFmtId="1" fontId="0" fillId="2" borderId="1" xfId="0" applyNumberFormat="1" applyFill="1" applyBorder="1">
      <alignment vertical="center"/>
    </xf>
    <xf numFmtId="1" fontId="0" fillId="2" borderId="12" xfId="0" applyNumberForma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0" fillId="2" borderId="3" xfId="0" applyNumberFormat="1" applyFill="1" applyBorder="1">
      <alignment vertical="center"/>
    </xf>
    <xf numFmtId="0" fontId="0" fillId="2" borderId="4" xfId="0" applyNumberFormat="1" applyFill="1" applyBorder="1">
      <alignment vertical="center"/>
    </xf>
    <xf numFmtId="0" fontId="0" fillId="2" borderId="0" xfId="0" applyNumberFormat="1" applyFill="1" applyBorder="1">
      <alignment vertical="center"/>
    </xf>
    <xf numFmtId="9" fontId="0" fillId="2" borderId="0" xfId="0" applyNumberFormat="1" applyFill="1" applyBorder="1">
      <alignment vertical="center"/>
    </xf>
    <xf numFmtId="0" fontId="0" fillId="2" borderId="6" xfId="0" applyNumberFormat="1" applyFill="1" applyBorder="1">
      <alignment vertical="center"/>
    </xf>
    <xf numFmtId="2" fontId="0" fillId="2" borderId="0" xfId="0" applyNumberFormat="1" applyFill="1" applyBorder="1">
      <alignment vertical="center"/>
    </xf>
    <xf numFmtId="0" fontId="0" fillId="2" borderId="0" xfId="0" quotePrefix="1" applyNumberFormat="1" applyFill="1" applyBorder="1">
      <alignment vertical="center"/>
    </xf>
    <xf numFmtId="0" fontId="0" fillId="2" borderId="8" xfId="0" applyNumberFormat="1" applyFill="1" applyBorder="1">
      <alignment vertical="center"/>
    </xf>
    <xf numFmtId="0" fontId="0" fillId="2" borderId="9" xfId="0" applyNumberFormat="1" applyFill="1" applyBorder="1">
      <alignment vertical="center"/>
    </xf>
    <xf numFmtId="0" fontId="0" fillId="2" borderId="3" xfId="1" applyNumberFormat="1" applyFont="1" applyFill="1" applyBorder="1" applyAlignment="1">
      <alignment horizontal="right" vertical="center"/>
    </xf>
    <xf numFmtId="0" fontId="0" fillId="2" borderId="3" xfId="1" applyNumberFormat="1" applyFont="1" applyFill="1" applyBorder="1" applyAlignment="1">
      <alignment horizontal="left" vertical="center"/>
    </xf>
    <xf numFmtId="2" fontId="4" fillId="2" borderId="2" xfId="1" applyNumberFormat="1" applyFont="1" applyFill="1" applyBorder="1">
      <alignment vertical="center"/>
    </xf>
    <xf numFmtId="0" fontId="4" fillId="2" borderId="2" xfId="0" applyNumberFormat="1" applyFont="1" applyFill="1" applyBorder="1">
      <alignment vertical="center"/>
    </xf>
    <xf numFmtId="0" fontId="0" fillId="2" borderId="10" xfId="0" applyNumberFormat="1" applyFill="1" applyBorder="1">
      <alignment vertical="center"/>
    </xf>
    <xf numFmtId="0" fontId="0" fillId="2" borderId="11" xfId="0" applyNumberFormat="1" applyFill="1" applyBorder="1">
      <alignment vertical="center"/>
    </xf>
    <xf numFmtId="9" fontId="0" fillId="2" borderId="11" xfId="0" applyNumberFormat="1" applyFill="1" applyBorder="1">
      <alignment vertical="center"/>
    </xf>
    <xf numFmtId="0" fontId="0" fillId="2" borderId="12" xfId="0" applyNumberFormat="1" applyFill="1" applyBorder="1">
      <alignment vertical="center"/>
    </xf>
    <xf numFmtId="0" fontId="0" fillId="2" borderId="1" xfId="0" applyNumberFormat="1" applyFill="1" applyBorder="1">
      <alignment vertical="center"/>
    </xf>
    <xf numFmtId="0" fontId="0" fillId="2" borderId="14" xfId="0" applyNumberFormat="1" applyFill="1" applyBorder="1">
      <alignment vertical="center"/>
    </xf>
    <xf numFmtId="0" fontId="0" fillId="2" borderId="13" xfId="0" applyNumberFormat="1" applyFill="1" applyBorder="1">
      <alignment vertical="center"/>
    </xf>
    <xf numFmtId="6" fontId="0" fillId="0" borderId="0" xfId="0" applyNumberFormat="1">
      <alignment vertical="center"/>
    </xf>
    <xf numFmtId="1" fontId="0" fillId="0" borderId="0" xfId="0" applyNumberFormat="1">
      <alignment vertical="center"/>
    </xf>
    <xf numFmtId="9" fontId="0" fillId="2" borderId="3" xfId="0" applyNumberFormat="1" applyFill="1" applyBorder="1">
      <alignment vertical="center"/>
    </xf>
    <xf numFmtId="9" fontId="0" fillId="2" borderId="4" xfId="0" applyNumberFormat="1" applyFill="1" applyBorder="1">
      <alignment vertical="center"/>
    </xf>
    <xf numFmtId="1" fontId="0" fillId="2" borderId="13" xfId="0" applyNumberFormat="1" applyFill="1" applyBorder="1">
      <alignment vertical="center"/>
    </xf>
    <xf numFmtId="1" fontId="0" fillId="2" borderId="4" xfId="0" applyNumberFormat="1" applyFill="1" applyBorder="1">
      <alignment vertical="center"/>
    </xf>
    <xf numFmtId="0" fontId="0" fillId="2" borderId="15" xfId="0" applyNumberFormat="1" applyFill="1" applyBorder="1">
      <alignment vertical="center"/>
    </xf>
    <xf numFmtId="6" fontId="0" fillId="2" borderId="8" xfId="0" applyNumberFormat="1" applyFill="1" applyBorder="1">
      <alignment vertical="center"/>
    </xf>
    <xf numFmtId="0" fontId="3" fillId="2" borderId="10" xfId="0" applyNumberFormat="1" applyFont="1" applyFill="1" applyBorder="1">
      <alignment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0" fontId="0" fillId="2" borderId="10" xfId="0" applyNumberFormat="1" applyFill="1" applyBorder="1" applyAlignment="1">
      <alignment horizontal="center" vertical="center"/>
    </xf>
    <xf numFmtId="10" fontId="0" fillId="2" borderId="12" xfId="0" applyNumberFormat="1" applyFill="1" applyBorder="1" applyAlignment="1">
      <alignment horizontal="center" vertical="center"/>
    </xf>
    <xf numFmtId="9" fontId="0" fillId="2" borderId="12" xfId="2" applyFon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Change</a:t>
            </a:r>
            <a:r>
              <a:rPr lang="en-US" altLang="ko-KR" baseline="0"/>
              <a:t>s of tax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SL Taxes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Sheet1!$G$6:$G$14</c:f>
              <c:numCache>
                <c:formatCode>General</c:formatCode>
                <c:ptCount val="9"/>
                <c:pt idx="0">
                  <c:v>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30000</c:v>
                </c:pt>
                <c:pt idx="8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C-492E-80E4-06267F129D68}"/>
            </c:ext>
          </c:extLst>
        </c:ser>
        <c:ser>
          <c:idx val="1"/>
          <c:order val="1"/>
          <c:tx>
            <c:strRef>
              <c:f>Sheet1!$G$19</c:f>
              <c:strCache>
                <c:ptCount val="1"/>
                <c:pt idx="0">
                  <c:v>DDB Taxes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Sheet1!$G$20:$G$28</c:f>
              <c:numCache>
                <c:formatCode>0</c:formatCode>
                <c:ptCount val="9"/>
                <c:pt idx="0">
                  <c:v>0</c:v>
                </c:pt>
                <c:pt idx="1">
                  <c:v>9000</c:v>
                </c:pt>
                <c:pt idx="2">
                  <c:v>14250</c:v>
                </c:pt>
                <c:pt idx="3">
                  <c:v>18187.5</c:v>
                </c:pt>
                <c:pt idx="4">
                  <c:v>21140.625</c:v>
                </c:pt>
                <c:pt idx="5">
                  <c:v>23355.46875</c:v>
                </c:pt>
                <c:pt idx="6">
                  <c:v>25016.6015625</c:v>
                </c:pt>
                <c:pt idx="7">
                  <c:v>27049.8046875</c:v>
                </c:pt>
                <c:pt idx="8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C-492E-80E4-06267F12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012992"/>
        <c:axId val="1768996768"/>
      </c:lineChart>
      <c:catAx>
        <c:axId val="17690129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Year</a:t>
                </a:r>
                <a:r>
                  <a:rPr lang="en-US" altLang="ko-KR" baseline="0"/>
                  <a:t> 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crossAx val="1768996768"/>
        <c:crosses val="autoZero"/>
        <c:auto val="1"/>
        <c:lblAlgn val="ctr"/>
        <c:lblOffset val="100"/>
        <c:noMultiLvlLbl val="0"/>
      </c:catAx>
      <c:valAx>
        <c:axId val="17689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9012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214511</xdr:colOff>
      <xdr:row>3</xdr:row>
      <xdr:rowOff>96124</xdr:rowOff>
    </xdr:from>
    <xdr:to>
      <xdr:col>19</xdr:col>
      <xdr:colOff>417018</xdr:colOff>
      <xdr:row>28</xdr:row>
      <xdr:rowOff>88847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7214580-71CB-34A1-2A14-6900F4432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5516-04D9-4CBC-B07A-44CFD1A51452}">
  <dimension ref="A1:T175"/>
  <sheetViews>
    <sheetView tabSelected="1" topLeftCell="A89" zoomScale="85" zoomScaleNormal="85" workbookViewId="0">
      <selection activeCell="I153" sqref="I153"/>
    </sheetView>
  </sheetViews>
  <sheetFormatPr defaultRowHeight="16.5" x14ac:dyDescent="0.3"/>
  <cols>
    <col min="1" max="1" width="15.5" style="1" bestFit="1" customWidth="1"/>
    <col min="2" max="2" width="15.125" style="1" bestFit="1" customWidth="1"/>
    <col min="3" max="3" width="9.625" style="1" bestFit="1" customWidth="1"/>
    <col min="4" max="4" width="10.25" style="1" bestFit="1" customWidth="1"/>
    <col min="5" max="5" width="9.625" style="1" bestFit="1" customWidth="1"/>
    <col min="6" max="6" width="14.875" style="1" bestFit="1" customWidth="1"/>
    <col min="7" max="7" width="10.625" style="1" bestFit="1" customWidth="1"/>
    <col min="8" max="8" width="9.625" style="1" bestFit="1" customWidth="1"/>
    <col min="9" max="9" width="18.375" style="1" bestFit="1" customWidth="1"/>
    <col min="10" max="10" width="9.625" style="1" bestFit="1" customWidth="1"/>
    <col min="11" max="11" width="10.25" style="1" bestFit="1" customWidth="1"/>
    <col min="12" max="12" width="11.25" style="1" bestFit="1" customWidth="1"/>
    <col min="13" max="13" width="9.625" style="1" bestFit="1" customWidth="1"/>
    <col min="14" max="18" width="9" style="1"/>
    <col min="19" max="19" width="9" style="1" customWidth="1"/>
    <col min="20" max="16384" width="9" style="1"/>
  </cols>
  <sheetData>
    <row r="1" spans="1:20" ht="17.25" thickBot="1" x14ac:dyDescent="0.35">
      <c r="A1" s="39">
        <v>17.28</v>
      </c>
      <c r="B1" s="37"/>
      <c r="C1" s="38"/>
      <c r="D1" s="38"/>
      <c r="E1" s="38"/>
      <c r="F1" s="37"/>
      <c r="G1" s="38"/>
      <c r="H1" s="6"/>
      <c r="I1" s="12"/>
      <c r="J1" s="28"/>
      <c r="K1" s="28"/>
      <c r="L1" s="28"/>
      <c r="M1" s="28"/>
      <c r="N1" s="28"/>
      <c r="O1" s="28"/>
      <c r="P1" s="28"/>
      <c r="Q1" s="28"/>
      <c r="R1" s="28"/>
      <c r="S1" s="28"/>
      <c r="T1" s="29"/>
    </row>
    <row r="2" spans="1:20" ht="17.25" thickBot="1" x14ac:dyDescent="0.35">
      <c r="A2" s="22" t="s">
        <v>12</v>
      </c>
      <c r="B2" s="61">
        <v>0.3</v>
      </c>
      <c r="C2" s="8"/>
      <c r="D2" s="22" t="s">
        <v>15</v>
      </c>
      <c r="E2" s="21">
        <v>0.08</v>
      </c>
      <c r="F2" s="8"/>
      <c r="G2" s="8"/>
      <c r="H2" s="8"/>
      <c r="I2" s="13"/>
      <c r="J2" s="30"/>
      <c r="K2" s="30"/>
      <c r="L2" s="30"/>
      <c r="M2" s="30"/>
      <c r="N2" s="30"/>
      <c r="O2" s="30"/>
      <c r="P2" s="30"/>
      <c r="Q2" s="30"/>
      <c r="R2" s="30"/>
      <c r="S2" s="30"/>
      <c r="T2" s="32"/>
    </row>
    <row r="3" spans="1:20" ht="17.25" thickBot="1" x14ac:dyDescent="0.35">
      <c r="A3" s="7"/>
      <c r="B3" s="8"/>
      <c r="C3" s="8"/>
      <c r="D3" s="8"/>
      <c r="E3" s="8"/>
      <c r="F3" s="8"/>
      <c r="G3" s="8"/>
      <c r="H3" s="8"/>
      <c r="I3" s="13"/>
      <c r="J3" s="30"/>
      <c r="K3" s="30"/>
      <c r="L3" s="30"/>
      <c r="M3" s="30"/>
      <c r="N3" s="30"/>
      <c r="O3" s="30"/>
      <c r="P3" s="30"/>
      <c r="Q3" s="30"/>
      <c r="R3" s="30"/>
      <c r="S3" s="30"/>
      <c r="T3" s="32"/>
    </row>
    <row r="4" spans="1:20" ht="17.25" thickBot="1" x14ac:dyDescent="0.35">
      <c r="A4" s="2" t="s">
        <v>0</v>
      </c>
      <c r="B4" s="3"/>
      <c r="C4" s="3"/>
      <c r="D4" s="3"/>
      <c r="E4" s="3"/>
      <c r="F4" s="3"/>
      <c r="G4" s="3"/>
      <c r="H4" s="3"/>
      <c r="I4" s="7"/>
      <c r="J4" s="8"/>
      <c r="K4" s="8"/>
      <c r="L4" s="8"/>
      <c r="M4" s="30"/>
      <c r="N4" s="30"/>
      <c r="O4" s="30"/>
      <c r="P4" s="30"/>
      <c r="Q4" s="30"/>
      <c r="R4" s="30"/>
      <c r="S4" s="30"/>
      <c r="T4" s="32"/>
    </row>
    <row r="5" spans="1:20" x14ac:dyDescent="0.3">
      <c r="A5" s="5" t="s">
        <v>1</v>
      </c>
      <c r="B5" s="6" t="s">
        <v>7</v>
      </c>
      <c r="C5" s="6" t="s">
        <v>2</v>
      </c>
      <c r="D5" s="6" t="s">
        <v>3</v>
      </c>
      <c r="E5" s="6" t="s">
        <v>16</v>
      </c>
      <c r="F5" s="6" t="s">
        <v>13</v>
      </c>
      <c r="G5" s="6" t="s">
        <v>20</v>
      </c>
      <c r="H5" s="6" t="s">
        <v>6</v>
      </c>
      <c r="I5" s="7"/>
      <c r="J5" s="8"/>
      <c r="K5" s="8"/>
      <c r="L5" s="8"/>
      <c r="M5" s="30"/>
      <c r="N5" s="30"/>
      <c r="O5" s="30"/>
      <c r="P5" s="30"/>
      <c r="Q5" s="30"/>
      <c r="R5" s="30"/>
      <c r="S5" s="30"/>
      <c r="T5" s="32"/>
    </row>
    <row r="6" spans="1:20" x14ac:dyDescent="0.3">
      <c r="A6" s="7">
        <v>0</v>
      </c>
      <c r="B6" s="8">
        <v>-280000</v>
      </c>
      <c r="C6" s="8">
        <v>-280000</v>
      </c>
      <c r="D6" s="8">
        <v>0</v>
      </c>
      <c r="E6" s="8">
        <v>280000</v>
      </c>
      <c r="F6" s="8">
        <v>0</v>
      </c>
      <c r="G6" s="8">
        <v>0</v>
      </c>
      <c r="H6" s="8">
        <v>-280000</v>
      </c>
      <c r="I6" s="7"/>
      <c r="J6" s="8"/>
      <c r="K6" s="8"/>
      <c r="L6" s="8"/>
      <c r="M6" s="30"/>
      <c r="N6" s="30"/>
      <c r="O6" s="30"/>
      <c r="P6" s="30"/>
      <c r="Q6" s="30"/>
      <c r="R6" s="30"/>
      <c r="S6" s="30"/>
      <c r="T6" s="32"/>
    </row>
    <row r="7" spans="1:20" x14ac:dyDescent="0.3">
      <c r="A7" s="7">
        <v>1</v>
      </c>
      <c r="B7" s="8"/>
      <c r="C7" s="8">
        <v>100000</v>
      </c>
      <c r="D7" s="8">
        <f>-($B$6+$B$12)/6</f>
        <v>40000</v>
      </c>
      <c r="E7" s="8">
        <f>E6-D7</f>
        <v>240000</v>
      </c>
      <c r="F7" s="8">
        <f>C7-D7</f>
        <v>60000</v>
      </c>
      <c r="G7" s="8">
        <f>F7*$B$2</f>
        <v>18000</v>
      </c>
      <c r="H7" s="8">
        <f>C7-G7</f>
        <v>82000</v>
      </c>
      <c r="I7" s="7"/>
      <c r="J7" s="8"/>
      <c r="K7" s="8"/>
      <c r="L7" s="8"/>
      <c r="M7" s="30"/>
      <c r="N7" s="30"/>
      <c r="O7" s="30"/>
      <c r="P7" s="30"/>
      <c r="Q7" s="30"/>
      <c r="R7" s="30"/>
      <c r="S7" s="30"/>
      <c r="T7" s="32"/>
    </row>
    <row r="8" spans="1:20" x14ac:dyDescent="0.3">
      <c r="A8" s="7">
        <v>2</v>
      </c>
      <c r="B8" s="8"/>
      <c r="C8" s="8">
        <v>100000</v>
      </c>
      <c r="D8" s="8">
        <f t="shared" ref="D8:D12" si="0">-($B$6+$B$12)/6</f>
        <v>40000</v>
      </c>
      <c r="E8" s="8">
        <f t="shared" ref="E8:E14" si="1">E7-D8</f>
        <v>200000</v>
      </c>
      <c r="F8" s="8">
        <f t="shared" ref="F8:F14" si="2">C8-D8</f>
        <v>60000</v>
      </c>
      <c r="G8" s="8">
        <f t="shared" ref="G8:G14" si="3">F8*$B$2</f>
        <v>18000</v>
      </c>
      <c r="H8" s="8">
        <f t="shared" ref="H8:H14" si="4">C8-G8</f>
        <v>82000</v>
      </c>
      <c r="I8" s="7"/>
      <c r="J8" s="8"/>
      <c r="K8" s="8"/>
      <c r="L8" s="8"/>
      <c r="M8" s="30"/>
      <c r="N8" s="30"/>
      <c r="O8" s="30"/>
      <c r="P8" s="30"/>
      <c r="Q8" s="30"/>
      <c r="R8" s="30"/>
      <c r="S8" s="30"/>
      <c r="T8" s="32"/>
    </row>
    <row r="9" spans="1:20" x14ac:dyDescent="0.3">
      <c r="A9" s="7">
        <v>3</v>
      </c>
      <c r="B9" s="8"/>
      <c r="C9" s="8">
        <v>100000</v>
      </c>
      <c r="D9" s="8">
        <f t="shared" si="0"/>
        <v>40000</v>
      </c>
      <c r="E9" s="8">
        <f t="shared" si="1"/>
        <v>160000</v>
      </c>
      <c r="F9" s="8">
        <f t="shared" si="2"/>
        <v>60000</v>
      </c>
      <c r="G9" s="8">
        <f t="shared" si="3"/>
        <v>18000</v>
      </c>
      <c r="H9" s="8">
        <f t="shared" si="4"/>
        <v>82000</v>
      </c>
      <c r="I9" s="7"/>
      <c r="J9" s="8"/>
      <c r="K9" s="8"/>
      <c r="L9" s="8"/>
      <c r="M9" s="30"/>
      <c r="N9" s="30"/>
      <c r="O9" s="30"/>
      <c r="P9" s="30"/>
      <c r="Q9" s="30"/>
      <c r="R9" s="30"/>
      <c r="S9" s="30"/>
      <c r="T9" s="32"/>
    </row>
    <row r="10" spans="1:20" x14ac:dyDescent="0.3">
      <c r="A10" s="7">
        <v>4</v>
      </c>
      <c r="B10" s="8"/>
      <c r="C10" s="8">
        <v>100000</v>
      </c>
      <c r="D10" s="8">
        <f t="shared" si="0"/>
        <v>40000</v>
      </c>
      <c r="E10" s="8">
        <f t="shared" si="1"/>
        <v>120000</v>
      </c>
      <c r="F10" s="8">
        <f t="shared" si="2"/>
        <v>60000</v>
      </c>
      <c r="G10" s="8">
        <f t="shared" si="3"/>
        <v>18000</v>
      </c>
      <c r="H10" s="8">
        <f t="shared" si="4"/>
        <v>82000</v>
      </c>
      <c r="I10" s="7"/>
      <c r="J10" s="8"/>
      <c r="K10" s="8"/>
      <c r="L10" s="8"/>
      <c r="M10" s="30"/>
      <c r="N10" s="30"/>
      <c r="O10" s="30"/>
      <c r="P10" s="30"/>
      <c r="Q10" s="30"/>
      <c r="R10" s="30"/>
      <c r="S10" s="30"/>
      <c r="T10" s="32"/>
    </row>
    <row r="11" spans="1:20" x14ac:dyDescent="0.3">
      <c r="A11" s="7">
        <v>5</v>
      </c>
      <c r="B11" s="8"/>
      <c r="C11" s="8">
        <v>100000</v>
      </c>
      <c r="D11" s="8">
        <f t="shared" si="0"/>
        <v>40000</v>
      </c>
      <c r="E11" s="8">
        <f t="shared" si="1"/>
        <v>80000</v>
      </c>
      <c r="F11" s="8">
        <f t="shared" si="2"/>
        <v>60000</v>
      </c>
      <c r="G11" s="8">
        <f t="shared" si="3"/>
        <v>18000</v>
      </c>
      <c r="H11" s="8">
        <f t="shared" si="4"/>
        <v>82000</v>
      </c>
      <c r="I11" s="7"/>
      <c r="J11" s="8"/>
      <c r="K11" s="8"/>
      <c r="L11" s="8"/>
      <c r="M11" s="30"/>
      <c r="N11" s="30"/>
      <c r="O11" s="30"/>
      <c r="P11" s="30"/>
      <c r="Q11" s="30"/>
      <c r="R11" s="30"/>
      <c r="S11" s="30"/>
      <c r="T11" s="32"/>
    </row>
    <row r="12" spans="1:20" x14ac:dyDescent="0.3">
      <c r="A12" s="7">
        <v>6</v>
      </c>
      <c r="B12" s="8">
        <v>40000</v>
      </c>
      <c r="C12" s="8">
        <v>100000</v>
      </c>
      <c r="D12" s="8">
        <f t="shared" si="0"/>
        <v>40000</v>
      </c>
      <c r="E12" s="8">
        <f t="shared" si="1"/>
        <v>40000</v>
      </c>
      <c r="F12" s="8">
        <f t="shared" si="2"/>
        <v>60000</v>
      </c>
      <c r="G12" s="8">
        <f t="shared" si="3"/>
        <v>18000</v>
      </c>
      <c r="H12" s="8">
        <f t="shared" si="4"/>
        <v>82000</v>
      </c>
      <c r="I12" s="7"/>
      <c r="J12" s="8"/>
      <c r="K12" s="8"/>
      <c r="L12" s="8"/>
      <c r="M12" s="30"/>
      <c r="N12" s="30"/>
      <c r="O12" s="30"/>
      <c r="P12" s="30"/>
      <c r="Q12" s="30"/>
      <c r="R12" s="30"/>
      <c r="S12" s="30"/>
      <c r="T12" s="32"/>
    </row>
    <row r="13" spans="1:20" x14ac:dyDescent="0.3">
      <c r="A13" s="7">
        <v>7</v>
      </c>
      <c r="B13" s="8"/>
      <c r="C13" s="8">
        <v>100000</v>
      </c>
      <c r="D13" s="8"/>
      <c r="E13" s="8">
        <f t="shared" si="1"/>
        <v>40000</v>
      </c>
      <c r="F13" s="8">
        <f t="shared" si="2"/>
        <v>100000</v>
      </c>
      <c r="G13" s="8">
        <f t="shared" si="3"/>
        <v>30000</v>
      </c>
      <c r="H13" s="8">
        <f t="shared" si="4"/>
        <v>70000</v>
      </c>
      <c r="I13" s="13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2"/>
    </row>
    <row r="14" spans="1:20" ht="17.25" thickBot="1" x14ac:dyDescent="0.35">
      <c r="A14" s="9">
        <v>8</v>
      </c>
      <c r="B14" s="10"/>
      <c r="C14" s="10">
        <v>100000</v>
      </c>
      <c r="D14" s="10"/>
      <c r="E14" s="10">
        <f t="shared" si="1"/>
        <v>40000</v>
      </c>
      <c r="F14" s="10">
        <f t="shared" si="2"/>
        <v>100000</v>
      </c>
      <c r="G14" s="10">
        <f t="shared" si="3"/>
        <v>30000</v>
      </c>
      <c r="H14" s="10">
        <f t="shared" si="4"/>
        <v>70000</v>
      </c>
      <c r="I14" s="13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2"/>
    </row>
    <row r="15" spans="1:20" ht="17.25" thickBot="1" x14ac:dyDescent="0.35">
      <c r="A15" s="7"/>
      <c r="B15" s="8"/>
      <c r="C15" s="8"/>
      <c r="D15" s="8"/>
      <c r="E15" s="8"/>
      <c r="F15" s="22" t="s">
        <v>19</v>
      </c>
      <c r="G15" s="22">
        <f>SUM(G6:G14)</f>
        <v>168000</v>
      </c>
      <c r="H15" s="8"/>
      <c r="I15" s="13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2"/>
    </row>
    <row r="16" spans="1:20" ht="17.25" thickBot="1" x14ac:dyDescent="0.35">
      <c r="A16" s="9"/>
      <c r="B16" s="10"/>
      <c r="C16" s="10"/>
      <c r="D16" s="10"/>
      <c r="E16" s="10"/>
      <c r="F16" s="23" t="s">
        <v>14</v>
      </c>
      <c r="G16" s="24">
        <f>NPV(E2,G7:G14)</f>
        <v>116924.6123442247</v>
      </c>
      <c r="H16" s="10"/>
      <c r="I16" s="13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2"/>
    </row>
    <row r="17" spans="1:20" ht="17.25" thickBot="1" x14ac:dyDescent="0.35">
      <c r="A17" s="13"/>
      <c r="B17" s="30"/>
      <c r="C17" s="30"/>
      <c r="D17" s="30"/>
      <c r="E17" s="30"/>
      <c r="F17" s="30"/>
      <c r="G17" s="30"/>
      <c r="H17" s="30"/>
      <c r="I17" s="13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2"/>
    </row>
    <row r="18" spans="1:20" ht="17.25" thickBot="1" x14ac:dyDescent="0.35">
      <c r="A18" s="12" t="s">
        <v>9</v>
      </c>
      <c r="B18" s="6"/>
      <c r="C18" s="22" t="s">
        <v>18</v>
      </c>
      <c r="D18" s="4">
        <f>2/8</f>
        <v>0.25</v>
      </c>
      <c r="E18" s="6"/>
      <c r="F18" s="6"/>
      <c r="G18" s="6"/>
      <c r="H18" s="6"/>
      <c r="I18" s="7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2"/>
    </row>
    <row r="19" spans="1:20" x14ac:dyDescent="0.3">
      <c r="A19" s="12" t="s">
        <v>1</v>
      </c>
      <c r="B19" s="6" t="s">
        <v>7</v>
      </c>
      <c r="C19" s="6" t="s">
        <v>2</v>
      </c>
      <c r="D19" s="6" t="s">
        <v>17</v>
      </c>
      <c r="E19" s="6" t="s">
        <v>16</v>
      </c>
      <c r="F19" s="6" t="s">
        <v>13</v>
      </c>
      <c r="G19" s="6" t="s">
        <v>21</v>
      </c>
      <c r="H19" s="6" t="s">
        <v>6</v>
      </c>
      <c r="I19" s="7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2"/>
    </row>
    <row r="20" spans="1:20" x14ac:dyDescent="0.3">
      <c r="A20" s="13">
        <v>0</v>
      </c>
      <c r="B20" s="14">
        <v>-280000</v>
      </c>
      <c r="C20" s="14">
        <v>-280000</v>
      </c>
      <c r="D20" s="14">
        <v>0</v>
      </c>
      <c r="E20" s="14">
        <v>280000</v>
      </c>
      <c r="F20" s="14">
        <v>0</v>
      </c>
      <c r="G20" s="14">
        <f>F20*$B$2</f>
        <v>0</v>
      </c>
      <c r="H20" s="14">
        <f>C20-G20</f>
        <v>-280000</v>
      </c>
      <c r="I20" s="7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2"/>
    </row>
    <row r="21" spans="1:20" x14ac:dyDescent="0.3">
      <c r="A21" s="13">
        <v>1</v>
      </c>
      <c r="B21" s="14"/>
      <c r="C21" s="14">
        <v>100000</v>
      </c>
      <c r="D21" s="14">
        <f>DDB(280000,40000,8,A21)</f>
        <v>70000</v>
      </c>
      <c r="E21" s="14">
        <f>E20-D21</f>
        <v>210000</v>
      </c>
      <c r="F21" s="14">
        <f>C21-D21</f>
        <v>30000</v>
      </c>
      <c r="G21" s="14">
        <f t="shared" ref="G21:G28" si="5">F21*$B$2</f>
        <v>9000</v>
      </c>
      <c r="H21" s="14">
        <f t="shared" ref="H21:H28" si="6">C21-G21</f>
        <v>91000</v>
      </c>
      <c r="I21" s="7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2"/>
    </row>
    <row r="22" spans="1:20" x14ac:dyDescent="0.3">
      <c r="A22" s="13">
        <v>2</v>
      </c>
      <c r="B22" s="14"/>
      <c r="C22" s="14">
        <v>100000</v>
      </c>
      <c r="D22" s="14">
        <f t="shared" ref="D22:D28" si="7">DDB(280000,40000,8,A22)</f>
        <v>52500</v>
      </c>
      <c r="E22" s="14">
        <f t="shared" ref="E22:E28" si="8">E21-D22</f>
        <v>157500</v>
      </c>
      <c r="F22" s="14">
        <f t="shared" ref="F22:F28" si="9">C22-D22</f>
        <v>47500</v>
      </c>
      <c r="G22" s="14">
        <f t="shared" si="5"/>
        <v>14250</v>
      </c>
      <c r="H22" s="14">
        <f t="shared" si="6"/>
        <v>85750</v>
      </c>
      <c r="I22" s="7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2"/>
    </row>
    <row r="23" spans="1:20" x14ac:dyDescent="0.3">
      <c r="A23" s="13">
        <v>3</v>
      </c>
      <c r="B23" s="14"/>
      <c r="C23" s="14">
        <v>100000</v>
      </c>
      <c r="D23" s="14">
        <f t="shared" si="7"/>
        <v>39375</v>
      </c>
      <c r="E23" s="14">
        <f t="shared" si="8"/>
        <v>118125</v>
      </c>
      <c r="F23" s="14">
        <f t="shared" si="9"/>
        <v>60625</v>
      </c>
      <c r="G23" s="14">
        <f t="shared" si="5"/>
        <v>18187.5</v>
      </c>
      <c r="H23" s="14">
        <f t="shared" si="6"/>
        <v>81812.5</v>
      </c>
      <c r="I23" s="7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2"/>
    </row>
    <row r="24" spans="1:20" x14ac:dyDescent="0.3">
      <c r="A24" s="13">
        <v>4</v>
      </c>
      <c r="B24" s="14"/>
      <c r="C24" s="14">
        <v>100000</v>
      </c>
      <c r="D24" s="14">
        <f t="shared" si="7"/>
        <v>29531.25</v>
      </c>
      <c r="E24" s="14">
        <f t="shared" si="8"/>
        <v>88593.75</v>
      </c>
      <c r="F24" s="14">
        <f t="shared" si="9"/>
        <v>70468.75</v>
      </c>
      <c r="G24" s="14">
        <f t="shared" si="5"/>
        <v>21140.625</v>
      </c>
      <c r="H24" s="14">
        <f t="shared" si="6"/>
        <v>78859.375</v>
      </c>
      <c r="I24" s="7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2"/>
    </row>
    <row r="25" spans="1:20" x14ac:dyDescent="0.3">
      <c r="A25" s="13">
        <v>5</v>
      </c>
      <c r="B25" s="14"/>
      <c r="C25" s="14">
        <v>100000</v>
      </c>
      <c r="D25" s="14">
        <f t="shared" si="7"/>
        <v>22148.4375</v>
      </c>
      <c r="E25" s="14">
        <f t="shared" si="8"/>
        <v>66445.3125</v>
      </c>
      <c r="F25" s="14">
        <f t="shared" si="9"/>
        <v>77851.5625</v>
      </c>
      <c r="G25" s="14">
        <f t="shared" si="5"/>
        <v>23355.46875</v>
      </c>
      <c r="H25" s="14">
        <f t="shared" si="6"/>
        <v>76644.53125</v>
      </c>
      <c r="I25" s="7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2"/>
    </row>
    <row r="26" spans="1:20" x14ac:dyDescent="0.3">
      <c r="A26" s="13">
        <v>6</v>
      </c>
      <c r="B26" s="14"/>
      <c r="C26" s="14">
        <v>100000</v>
      </c>
      <c r="D26" s="14">
        <f t="shared" si="7"/>
        <v>16611.328125</v>
      </c>
      <c r="E26" s="14">
        <f t="shared" si="8"/>
        <v>49833.984375</v>
      </c>
      <c r="F26" s="14">
        <f t="shared" si="9"/>
        <v>83388.671875</v>
      </c>
      <c r="G26" s="14">
        <f t="shared" si="5"/>
        <v>25016.6015625</v>
      </c>
      <c r="H26" s="14">
        <f t="shared" si="6"/>
        <v>74983.3984375</v>
      </c>
      <c r="I26" s="7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2"/>
    </row>
    <row r="27" spans="1:20" x14ac:dyDescent="0.3">
      <c r="A27" s="13">
        <v>7</v>
      </c>
      <c r="B27" s="16"/>
      <c r="C27" s="14">
        <v>100000</v>
      </c>
      <c r="D27" s="14">
        <f t="shared" si="7"/>
        <v>9833.984375</v>
      </c>
      <c r="E27" s="14">
        <f t="shared" si="8"/>
        <v>40000</v>
      </c>
      <c r="F27" s="14">
        <f t="shared" si="9"/>
        <v>90166.015625</v>
      </c>
      <c r="G27" s="14">
        <f t="shared" si="5"/>
        <v>27049.8046875</v>
      </c>
      <c r="H27" s="14">
        <f t="shared" si="6"/>
        <v>72950.1953125</v>
      </c>
      <c r="I27" s="13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2"/>
    </row>
    <row r="28" spans="1:20" ht="17.25" thickBot="1" x14ac:dyDescent="0.35">
      <c r="A28" s="17">
        <v>8</v>
      </c>
      <c r="B28" s="18">
        <v>40000</v>
      </c>
      <c r="C28" s="11">
        <v>100000</v>
      </c>
      <c r="D28" s="11">
        <f t="shared" si="7"/>
        <v>0</v>
      </c>
      <c r="E28" s="11">
        <f t="shared" si="8"/>
        <v>40000</v>
      </c>
      <c r="F28" s="11">
        <f t="shared" si="9"/>
        <v>100000</v>
      </c>
      <c r="G28" s="11">
        <f t="shared" si="5"/>
        <v>30000</v>
      </c>
      <c r="H28" s="11">
        <f t="shared" si="6"/>
        <v>70000</v>
      </c>
      <c r="I28" s="13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2"/>
    </row>
    <row r="29" spans="1:20" ht="17.25" thickBot="1" x14ac:dyDescent="0.35">
      <c r="A29" s="13"/>
      <c r="B29" s="16"/>
      <c r="C29" s="16"/>
      <c r="D29" s="14"/>
      <c r="E29" s="14"/>
      <c r="F29" s="25" t="s">
        <v>19</v>
      </c>
      <c r="G29" s="26">
        <f>SUM(G20:G28)</f>
        <v>168000</v>
      </c>
      <c r="H29" s="16"/>
      <c r="I29" s="13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2"/>
    </row>
    <row r="30" spans="1:20" ht="17.25" thickBot="1" x14ac:dyDescent="0.35">
      <c r="A30" s="17"/>
      <c r="B30" s="18"/>
      <c r="C30" s="18"/>
      <c r="D30" s="18"/>
      <c r="E30" s="18"/>
      <c r="F30" s="23" t="s">
        <v>14</v>
      </c>
      <c r="G30" s="20">
        <f>NPV(E2,G21:G28)</f>
        <v>114178.63571451609</v>
      </c>
      <c r="H30" s="18"/>
      <c r="I30" s="17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6"/>
    </row>
    <row r="31" spans="1:20" ht="17.25" thickBot="1" x14ac:dyDescent="0.35"/>
    <row r="32" spans="1:20" x14ac:dyDescent="0.3">
      <c r="A32" s="40">
        <v>17.420000000000002</v>
      </c>
      <c r="B32" s="28"/>
      <c r="C32" s="28"/>
      <c r="D32" s="28"/>
      <c r="E32" s="28"/>
      <c r="F32" s="28"/>
      <c r="G32" s="29"/>
    </row>
    <row r="33" spans="1:9" x14ac:dyDescent="0.3">
      <c r="A33" s="13"/>
      <c r="B33" s="30"/>
      <c r="C33" s="30"/>
      <c r="D33" s="30"/>
      <c r="E33" s="30"/>
      <c r="F33" s="31">
        <v>0.52</v>
      </c>
      <c r="G33" s="32"/>
    </row>
    <row r="34" spans="1:9" x14ac:dyDescent="0.3">
      <c r="A34" s="13" t="s">
        <v>1</v>
      </c>
      <c r="B34" s="30" t="s">
        <v>2</v>
      </c>
      <c r="C34" s="30" t="s">
        <v>11</v>
      </c>
      <c r="D34" s="30" t="s">
        <v>22</v>
      </c>
      <c r="E34" s="30" t="s">
        <v>4</v>
      </c>
      <c r="F34" s="30" t="s">
        <v>5</v>
      </c>
      <c r="G34" s="32" t="s">
        <v>6</v>
      </c>
    </row>
    <row r="35" spans="1:9" x14ac:dyDescent="0.3">
      <c r="A35" s="13">
        <v>0</v>
      </c>
      <c r="B35" s="30">
        <v>-1000</v>
      </c>
      <c r="C35" s="30"/>
      <c r="D35" s="30"/>
      <c r="E35" s="30"/>
      <c r="F35" s="30"/>
      <c r="G35" s="32">
        <f>B35+C35-F35</f>
        <v>-1000</v>
      </c>
    </row>
    <row r="36" spans="1:9" x14ac:dyDescent="0.3">
      <c r="A36" s="13">
        <v>1</v>
      </c>
      <c r="B36" s="30">
        <v>275</v>
      </c>
      <c r="C36" s="30"/>
      <c r="D36" s="30">
        <v>250</v>
      </c>
      <c r="E36" s="30">
        <f>B36-D36</f>
        <v>25</v>
      </c>
      <c r="F36" s="30">
        <f>E36*$F$33</f>
        <v>13</v>
      </c>
      <c r="G36" s="32">
        <f t="shared" ref="G36:G38" si="10">B36+C36-F36</f>
        <v>262</v>
      </c>
    </row>
    <row r="37" spans="1:9" x14ac:dyDescent="0.3">
      <c r="A37" s="13">
        <v>2</v>
      </c>
      <c r="B37" s="30">
        <v>275</v>
      </c>
      <c r="C37" s="30"/>
      <c r="D37" s="30">
        <v>250</v>
      </c>
      <c r="E37" s="30">
        <f t="shared" ref="E37:E38" si="11">B37-D37</f>
        <v>25</v>
      </c>
      <c r="F37" s="30">
        <f t="shared" ref="F37:F38" si="12">E37*$F$33</f>
        <v>13</v>
      </c>
      <c r="G37" s="32">
        <f t="shared" si="10"/>
        <v>262</v>
      </c>
    </row>
    <row r="38" spans="1:9" x14ac:dyDescent="0.3">
      <c r="A38" s="13">
        <v>3</v>
      </c>
      <c r="B38" s="30">
        <v>275</v>
      </c>
      <c r="C38" s="30"/>
      <c r="D38" s="30">
        <v>250</v>
      </c>
      <c r="E38" s="30">
        <f t="shared" si="11"/>
        <v>25</v>
      </c>
      <c r="F38" s="30">
        <f t="shared" si="12"/>
        <v>13</v>
      </c>
      <c r="G38" s="32">
        <f t="shared" si="10"/>
        <v>262</v>
      </c>
    </row>
    <row r="39" spans="1:9" x14ac:dyDescent="0.3">
      <c r="A39" s="13">
        <v>4</v>
      </c>
      <c r="B39" s="30">
        <v>275</v>
      </c>
      <c r="C39" s="30">
        <v>100</v>
      </c>
      <c r="D39" s="30">
        <v>250</v>
      </c>
      <c r="E39" s="30">
        <f>B39-D39+C39</f>
        <v>125</v>
      </c>
      <c r="F39" s="30">
        <f>E39*$F$33</f>
        <v>65</v>
      </c>
      <c r="G39" s="32">
        <f>B39+C39-F39</f>
        <v>310</v>
      </c>
    </row>
    <row r="40" spans="1:9" x14ac:dyDescent="0.3">
      <c r="A40" s="13"/>
      <c r="B40" s="30"/>
      <c r="C40" s="30"/>
      <c r="D40" s="30"/>
      <c r="E40" s="30"/>
      <c r="F40" s="30"/>
      <c r="G40" s="32"/>
    </row>
    <row r="41" spans="1:9" x14ac:dyDescent="0.3">
      <c r="A41" s="13" t="s">
        <v>23</v>
      </c>
      <c r="B41" s="33">
        <f>NPV(5%,G36:G39)+G35</f>
        <v>-31.471249119451386</v>
      </c>
      <c r="C41" s="34" t="s">
        <v>24</v>
      </c>
      <c r="D41" s="30"/>
      <c r="E41" s="30"/>
      <c r="F41" s="30"/>
      <c r="G41" s="32"/>
    </row>
    <row r="42" spans="1:9" ht="17.25" thickBot="1" x14ac:dyDescent="0.35">
      <c r="A42" s="57" t="s">
        <v>25</v>
      </c>
      <c r="B42" s="58"/>
      <c r="C42" s="58"/>
      <c r="D42" s="35"/>
      <c r="E42" s="35"/>
      <c r="F42" s="35"/>
      <c r="G42" s="36"/>
    </row>
    <row r="43" spans="1:9" ht="17.25" thickBot="1" x14ac:dyDescent="0.35"/>
    <row r="44" spans="1:9" ht="17.25" thickBot="1" x14ac:dyDescent="0.35">
      <c r="A44" s="27">
        <v>17.52</v>
      </c>
      <c r="B44" s="28"/>
      <c r="C44" s="28"/>
      <c r="D44" s="28"/>
      <c r="E44" s="28"/>
      <c r="F44" s="28"/>
      <c r="G44" s="28"/>
      <c r="H44" s="28"/>
      <c r="I44" s="29"/>
    </row>
    <row r="45" spans="1:9" ht="17.25" thickBot="1" x14ac:dyDescent="0.35">
      <c r="A45" s="41" t="s">
        <v>29</v>
      </c>
      <c r="B45" s="42"/>
      <c r="C45" s="42"/>
      <c r="D45" s="42"/>
      <c r="E45" s="42"/>
      <c r="F45" s="42"/>
      <c r="G45" s="42"/>
      <c r="H45" s="43">
        <v>0.34</v>
      </c>
      <c r="I45" s="44"/>
    </row>
    <row r="46" spans="1:9" x14ac:dyDescent="0.3">
      <c r="A46" s="12" t="s">
        <v>1</v>
      </c>
      <c r="B46" s="28" t="s">
        <v>26</v>
      </c>
      <c r="C46" s="28" t="s">
        <v>28</v>
      </c>
      <c r="D46" s="28" t="s">
        <v>27</v>
      </c>
      <c r="E46" s="28" t="s">
        <v>2</v>
      </c>
      <c r="F46" s="28" t="s">
        <v>22</v>
      </c>
      <c r="G46" s="28" t="s">
        <v>4</v>
      </c>
      <c r="H46" s="28" t="s">
        <v>8</v>
      </c>
      <c r="I46" s="29" t="s">
        <v>6</v>
      </c>
    </row>
    <row r="47" spans="1:9" x14ac:dyDescent="0.3">
      <c r="A47" s="13">
        <v>0</v>
      </c>
      <c r="B47" s="30">
        <v>-100000</v>
      </c>
      <c r="C47" s="30"/>
      <c r="D47" s="30"/>
      <c r="E47" s="30">
        <f>B47+C47+D47</f>
        <v>-100000</v>
      </c>
      <c r="F47" s="30">
        <v>0</v>
      </c>
      <c r="G47" s="30">
        <v>0</v>
      </c>
      <c r="H47" s="30">
        <v>0</v>
      </c>
      <c r="I47" s="32">
        <f>E47</f>
        <v>-100000</v>
      </c>
    </row>
    <row r="48" spans="1:9" x14ac:dyDescent="0.3">
      <c r="A48" s="13">
        <v>1</v>
      </c>
      <c r="B48" s="30"/>
      <c r="C48" s="30">
        <v>35000</v>
      </c>
      <c r="D48" s="30">
        <v>-15000</v>
      </c>
      <c r="E48" s="30">
        <f t="shared" ref="E48:E52" si="13">B48+C48+D48</f>
        <v>20000</v>
      </c>
      <c r="F48" s="30">
        <f>(-$B$47-$B$52)/5</f>
        <v>18000</v>
      </c>
      <c r="G48" s="30">
        <f t="shared" ref="G48:G51" si="14">E48-F48</f>
        <v>2000</v>
      </c>
      <c r="H48" s="30">
        <f>G48*$H$45</f>
        <v>680</v>
      </c>
      <c r="I48" s="32">
        <f>E48-H48</f>
        <v>19320</v>
      </c>
    </row>
    <row r="49" spans="1:9" x14ac:dyDescent="0.3">
      <c r="A49" s="13">
        <v>2</v>
      </c>
      <c r="B49" s="30"/>
      <c r="C49" s="30">
        <v>35000</v>
      </c>
      <c r="D49" s="30">
        <v>-15000</v>
      </c>
      <c r="E49" s="30">
        <f t="shared" si="13"/>
        <v>20000</v>
      </c>
      <c r="F49" s="30">
        <f t="shared" ref="F49:F52" si="15">(-$B$47-$B$52)/5</f>
        <v>18000</v>
      </c>
      <c r="G49" s="30">
        <f t="shared" si="14"/>
        <v>2000</v>
      </c>
      <c r="H49" s="30">
        <f t="shared" ref="H49:H51" si="16">G49*$H$45</f>
        <v>680</v>
      </c>
      <c r="I49" s="32">
        <f t="shared" ref="I49:I52" si="17">E49-H49</f>
        <v>19320</v>
      </c>
    </row>
    <row r="50" spans="1:9" x14ac:dyDescent="0.3">
      <c r="A50" s="13">
        <v>3</v>
      </c>
      <c r="B50" s="30"/>
      <c r="C50" s="30">
        <v>35000</v>
      </c>
      <c r="D50" s="30">
        <v>-15000</v>
      </c>
      <c r="E50" s="30">
        <f t="shared" si="13"/>
        <v>20000</v>
      </c>
      <c r="F50" s="30">
        <f t="shared" si="15"/>
        <v>18000</v>
      </c>
      <c r="G50" s="30">
        <f t="shared" si="14"/>
        <v>2000</v>
      </c>
      <c r="H50" s="30">
        <f t="shared" si="16"/>
        <v>680</v>
      </c>
      <c r="I50" s="32">
        <f t="shared" si="17"/>
        <v>19320</v>
      </c>
    </row>
    <row r="51" spans="1:9" x14ac:dyDescent="0.3">
      <c r="A51" s="13">
        <v>4</v>
      </c>
      <c r="B51" s="30"/>
      <c r="C51" s="30">
        <v>35000</v>
      </c>
      <c r="D51" s="30">
        <v>-15000</v>
      </c>
      <c r="E51" s="30">
        <f t="shared" si="13"/>
        <v>20000</v>
      </c>
      <c r="F51" s="30">
        <f t="shared" si="15"/>
        <v>18000</v>
      </c>
      <c r="G51" s="30">
        <f t="shared" si="14"/>
        <v>2000</v>
      </c>
      <c r="H51" s="30">
        <f t="shared" si="16"/>
        <v>680</v>
      </c>
      <c r="I51" s="32">
        <f t="shared" si="17"/>
        <v>19320</v>
      </c>
    </row>
    <row r="52" spans="1:9" ht="17.25" thickBot="1" x14ac:dyDescent="0.35">
      <c r="A52" s="17">
        <v>5</v>
      </c>
      <c r="B52" s="35">
        <v>10000</v>
      </c>
      <c r="C52" s="35">
        <v>35000</v>
      </c>
      <c r="D52" s="35">
        <v>-15000</v>
      </c>
      <c r="E52" s="35">
        <f t="shared" si="13"/>
        <v>30000</v>
      </c>
      <c r="F52" s="35">
        <f t="shared" si="15"/>
        <v>18000</v>
      </c>
      <c r="G52" s="35">
        <f>E52-F52</f>
        <v>12000</v>
      </c>
      <c r="H52" s="35">
        <f>G52*$H$45</f>
        <v>4080.0000000000005</v>
      </c>
      <c r="I52" s="36">
        <f t="shared" si="17"/>
        <v>25920</v>
      </c>
    </row>
    <row r="53" spans="1:9" ht="17.25" thickBot="1" x14ac:dyDescent="0.35">
      <c r="A53" s="13"/>
      <c r="B53" s="30"/>
      <c r="C53" s="30"/>
      <c r="D53" s="30"/>
      <c r="E53" s="30"/>
      <c r="F53" s="30"/>
      <c r="G53" s="30"/>
      <c r="H53" s="30"/>
      <c r="I53" s="15"/>
    </row>
    <row r="54" spans="1:9" x14ac:dyDescent="0.3">
      <c r="A54" s="12"/>
      <c r="B54" s="29" t="s">
        <v>31</v>
      </c>
      <c r="C54" s="30"/>
      <c r="D54" s="30"/>
      <c r="E54" s="30"/>
      <c r="F54" s="30"/>
      <c r="G54" s="30"/>
      <c r="H54" s="30"/>
      <c r="I54" s="15"/>
    </row>
    <row r="55" spans="1:9" x14ac:dyDescent="0.3">
      <c r="A55" s="13" t="s">
        <v>32</v>
      </c>
      <c r="B55" s="19">
        <f>-PMT(7%,5,B47)</f>
        <v>-24389.069444137407</v>
      </c>
      <c r="C55" s="30"/>
      <c r="D55" s="30"/>
      <c r="E55" s="30"/>
      <c r="F55" s="30"/>
      <c r="G55" s="30"/>
      <c r="H55" s="30"/>
      <c r="I55" s="15"/>
    </row>
    <row r="56" spans="1:9" x14ac:dyDescent="0.3">
      <c r="A56" s="13" t="s">
        <v>33</v>
      </c>
      <c r="B56" s="19">
        <f>-PMT(7%,5,,B52)</f>
        <v>1738.9069444137406</v>
      </c>
      <c r="C56" s="30"/>
      <c r="D56" s="30"/>
      <c r="E56" s="30"/>
      <c r="F56" s="30"/>
      <c r="G56" s="30"/>
      <c r="H56" s="30"/>
      <c r="I56" s="32"/>
    </row>
    <row r="57" spans="1:9" x14ac:dyDescent="0.3">
      <c r="A57" s="13" t="s">
        <v>6</v>
      </c>
      <c r="B57" s="19">
        <f>I51</f>
        <v>19320</v>
      </c>
      <c r="C57" s="30"/>
      <c r="D57" s="30"/>
      <c r="E57" s="30"/>
      <c r="F57" s="30"/>
      <c r="G57" s="30"/>
      <c r="H57" s="30"/>
      <c r="I57" s="32"/>
    </row>
    <row r="58" spans="1:9" ht="17.25" thickBot="1" x14ac:dyDescent="0.35">
      <c r="A58" s="17" t="s">
        <v>10</v>
      </c>
      <c r="B58" s="20">
        <f>SUM(B55:B57)</f>
        <v>-3330.162499723665</v>
      </c>
      <c r="C58" s="35"/>
      <c r="D58" s="35"/>
      <c r="E58" s="35"/>
      <c r="F58" s="35"/>
      <c r="G58" s="35"/>
      <c r="H58" s="35"/>
      <c r="I58" s="36"/>
    </row>
    <row r="59" spans="1:9" ht="17.25" thickBot="1" x14ac:dyDescent="0.35">
      <c r="A59" s="13"/>
      <c r="B59" s="30"/>
      <c r="C59" s="30"/>
      <c r="D59" s="30"/>
      <c r="E59" s="30"/>
      <c r="F59" s="30"/>
      <c r="G59" s="30"/>
      <c r="H59" s="30"/>
      <c r="I59" s="32"/>
    </row>
    <row r="60" spans="1:9" ht="17.25" thickBot="1" x14ac:dyDescent="0.35">
      <c r="A60" s="41" t="s">
        <v>30</v>
      </c>
      <c r="B60" s="42"/>
      <c r="C60" s="42"/>
      <c r="D60" s="42"/>
      <c r="E60" s="42"/>
      <c r="F60" s="42"/>
      <c r="G60" s="42"/>
      <c r="H60" s="43">
        <v>0.34</v>
      </c>
      <c r="I60" s="44"/>
    </row>
    <row r="61" spans="1:9" x14ac:dyDescent="0.3">
      <c r="A61" s="12" t="s">
        <v>1</v>
      </c>
      <c r="B61" s="28" t="s">
        <v>26</v>
      </c>
      <c r="C61" s="28" t="s">
        <v>28</v>
      </c>
      <c r="D61" s="28" t="s">
        <v>27</v>
      </c>
      <c r="E61" s="28" t="s">
        <v>2</v>
      </c>
      <c r="F61" s="28" t="s">
        <v>22</v>
      </c>
      <c r="G61" s="28" t="s">
        <v>4</v>
      </c>
      <c r="H61" s="28" t="s">
        <v>8</v>
      </c>
      <c r="I61" s="29" t="s">
        <v>6</v>
      </c>
    </row>
    <row r="62" spans="1:9" x14ac:dyDescent="0.3">
      <c r="A62" s="13">
        <v>0</v>
      </c>
      <c r="B62" s="30">
        <v>-150000</v>
      </c>
      <c r="C62" s="30"/>
      <c r="D62" s="30"/>
      <c r="E62" s="30">
        <f>B62+C62+D62</f>
        <v>-150000</v>
      </c>
      <c r="F62" s="30">
        <v>0</v>
      </c>
      <c r="G62" s="30">
        <v>0</v>
      </c>
      <c r="H62" s="30">
        <v>0</v>
      </c>
      <c r="I62" s="32">
        <f>E62-H62</f>
        <v>-150000</v>
      </c>
    </row>
    <row r="63" spans="1:9" x14ac:dyDescent="0.3">
      <c r="A63" s="13">
        <v>1</v>
      </c>
      <c r="B63" s="30"/>
      <c r="C63" s="30">
        <v>45000</v>
      </c>
      <c r="D63" s="30">
        <v>-6000</v>
      </c>
      <c r="E63" s="30">
        <f t="shared" ref="E63:E67" si="18">B63+C63+D63</f>
        <v>39000</v>
      </c>
      <c r="F63" s="30">
        <f>(-$B$62-$B$67)/5</f>
        <v>26000</v>
      </c>
      <c r="G63" s="30">
        <f>E63-F63</f>
        <v>13000</v>
      </c>
      <c r="H63" s="30">
        <f>G63*$H$60</f>
        <v>4420</v>
      </c>
      <c r="I63" s="32">
        <f t="shared" ref="I63:I67" si="19">E63-H63</f>
        <v>34580</v>
      </c>
    </row>
    <row r="64" spans="1:9" x14ac:dyDescent="0.3">
      <c r="A64" s="13">
        <v>2</v>
      </c>
      <c r="B64" s="30"/>
      <c r="C64" s="30">
        <v>45000</v>
      </c>
      <c r="D64" s="30">
        <v>-6000</v>
      </c>
      <c r="E64" s="30">
        <f t="shared" si="18"/>
        <v>39000</v>
      </c>
      <c r="F64" s="30">
        <f t="shared" ref="F64:F67" si="20">(-$B$62-$B$67)/5</f>
        <v>26000</v>
      </c>
      <c r="G64" s="30">
        <f t="shared" ref="G64:G67" si="21">E64-F64</f>
        <v>13000</v>
      </c>
      <c r="H64" s="30">
        <f t="shared" ref="H64:H67" si="22">G64*$H$60</f>
        <v>4420</v>
      </c>
      <c r="I64" s="32">
        <f t="shared" si="19"/>
        <v>34580</v>
      </c>
    </row>
    <row r="65" spans="1:9" x14ac:dyDescent="0.3">
      <c r="A65" s="13">
        <v>3</v>
      </c>
      <c r="B65" s="30"/>
      <c r="C65" s="30">
        <v>45000</v>
      </c>
      <c r="D65" s="30">
        <v>-6000</v>
      </c>
      <c r="E65" s="30">
        <f t="shared" si="18"/>
        <v>39000</v>
      </c>
      <c r="F65" s="30">
        <f t="shared" si="20"/>
        <v>26000</v>
      </c>
      <c r="G65" s="30">
        <f t="shared" si="21"/>
        <v>13000</v>
      </c>
      <c r="H65" s="30">
        <f t="shared" si="22"/>
        <v>4420</v>
      </c>
      <c r="I65" s="32">
        <f t="shared" si="19"/>
        <v>34580</v>
      </c>
    </row>
    <row r="66" spans="1:9" x14ac:dyDescent="0.3">
      <c r="A66" s="13">
        <v>4</v>
      </c>
      <c r="B66" s="30"/>
      <c r="C66" s="30">
        <v>45000</v>
      </c>
      <c r="D66" s="30">
        <v>-6000</v>
      </c>
      <c r="E66" s="30">
        <f t="shared" si="18"/>
        <v>39000</v>
      </c>
      <c r="F66" s="30">
        <f t="shared" si="20"/>
        <v>26000</v>
      </c>
      <c r="G66" s="30">
        <f t="shared" si="21"/>
        <v>13000</v>
      </c>
      <c r="H66" s="30">
        <f t="shared" si="22"/>
        <v>4420</v>
      </c>
      <c r="I66" s="32">
        <f t="shared" si="19"/>
        <v>34580</v>
      </c>
    </row>
    <row r="67" spans="1:9" ht="17.25" thickBot="1" x14ac:dyDescent="0.35">
      <c r="A67" s="17">
        <v>5</v>
      </c>
      <c r="B67" s="35">
        <v>20000</v>
      </c>
      <c r="C67" s="35">
        <v>45000</v>
      </c>
      <c r="D67" s="35">
        <v>-6000</v>
      </c>
      <c r="E67" s="35">
        <f t="shared" si="18"/>
        <v>59000</v>
      </c>
      <c r="F67" s="35">
        <f t="shared" si="20"/>
        <v>26000</v>
      </c>
      <c r="G67" s="35">
        <f t="shared" si="21"/>
        <v>33000</v>
      </c>
      <c r="H67" s="35">
        <f t="shared" si="22"/>
        <v>11220</v>
      </c>
      <c r="I67" s="36">
        <f t="shared" si="19"/>
        <v>47780</v>
      </c>
    </row>
    <row r="68" spans="1:9" ht="17.25" thickBot="1" x14ac:dyDescent="0.35">
      <c r="A68" s="13"/>
      <c r="B68" s="30"/>
      <c r="C68" s="30"/>
      <c r="D68" s="30"/>
      <c r="E68" s="30"/>
      <c r="F68" s="30"/>
      <c r="G68" s="30"/>
      <c r="H68" s="30"/>
      <c r="I68" s="19"/>
    </row>
    <row r="69" spans="1:9" x14ac:dyDescent="0.3">
      <c r="A69" s="12"/>
      <c r="B69" s="29" t="s">
        <v>31</v>
      </c>
      <c r="C69" s="30"/>
      <c r="D69" s="30"/>
      <c r="E69" s="30"/>
      <c r="F69" s="30"/>
      <c r="G69" s="30"/>
      <c r="H69" s="30"/>
      <c r="I69" s="32"/>
    </row>
    <row r="70" spans="1:9" x14ac:dyDescent="0.3">
      <c r="A70" s="13" t="s">
        <v>32</v>
      </c>
      <c r="B70" s="19">
        <f>-PMT(7%,5,B62)</f>
        <v>-36583.604166206118</v>
      </c>
      <c r="C70" s="30"/>
      <c r="D70" s="30"/>
      <c r="E70" s="30"/>
      <c r="F70" s="30"/>
      <c r="G70" s="30"/>
      <c r="H70" s="30"/>
      <c r="I70" s="32"/>
    </row>
    <row r="71" spans="1:9" x14ac:dyDescent="0.3">
      <c r="A71" s="13" t="s">
        <v>33</v>
      </c>
      <c r="B71" s="19">
        <f>-PMT(7%,5,,B67)</f>
        <v>3477.8138888274812</v>
      </c>
      <c r="C71" s="30"/>
      <c r="D71" s="30"/>
      <c r="E71" s="30"/>
      <c r="F71" s="30"/>
      <c r="G71" s="30"/>
      <c r="H71" s="30"/>
      <c r="I71" s="32"/>
    </row>
    <row r="72" spans="1:9" x14ac:dyDescent="0.3">
      <c r="A72" s="13" t="s">
        <v>6</v>
      </c>
      <c r="B72" s="19">
        <f>I66</f>
        <v>34580</v>
      </c>
      <c r="C72" s="30"/>
      <c r="D72" s="30"/>
      <c r="E72" s="30"/>
      <c r="F72" s="30"/>
      <c r="G72" s="30"/>
      <c r="H72" s="30"/>
      <c r="I72" s="32"/>
    </row>
    <row r="73" spans="1:9" ht="17.25" thickBot="1" x14ac:dyDescent="0.35">
      <c r="A73" s="17" t="s">
        <v>10</v>
      </c>
      <c r="B73" s="20">
        <f>SUM(B70:B72)</f>
        <v>1474.2097226213664</v>
      </c>
      <c r="C73" s="35"/>
      <c r="D73" s="35"/>
      <c r="E73" s="35"/>
      <c r="F73" s="35"/>
      <c r="G73" s="35"/>
      <c r="H73" s="35"/>
      <c r="I73" s="36"/>
    </row>
    <row r="74" spans="1:9" x14ac:dyDescent="0.3">
      <c r="A74" s="13"/>
      <c r="B74" s="30"/>
      <c r="C74" s="30"/>
      <c r="D74" s="30"/>
      <c r="E74" s="30"/>
      <c r="F74" s="30"/>
      <c r="G74" s="30"/>
      <c r="H74" s="30"/>
      <c r="I74" s="32"/>
    </row>
    <row r="75" spans="1:9" ht="17.25" thickBot="1" x14ac:dyDescent="0.35">
      <c r="A75" s="57" t="s">
        <v>34</v>
      </c>
      <c r="B75" s="58"/>
      <c r="C75" s="58"/>
      <c r="D75" s="35"/>
      <c r="E75" s="35"/>
      <c r="F75" s="35"/>
      <c r="G75" s="35"/>
      <c r="H75" s="35"/>
      <c r="I75" s="36"/>
    </row>
    <row r="76" spans="1:9" ht="17.25" thickBot="1" x14ac:dyDescent="0.35"/>
    <row r="77" spans="1:9" x14ac:dyDescent="0.3">
      <c r="A77" s="27">
        <v>17.559999999999999</v>
      </c>
      <c r="B77" s="28"/>
      <c r="C77" s="28"/>
      <c r="D77" s="28"/>
      <c r="E77" s="28"/>
      <c r="F77" s="28"/>
      <c r="G77" s="28"/>
      <c r="H77" s="28"/>
      <c r="I77" s="29"/>
    </row>
    <row r="78" spans="1:9" ht="17.25" thickBot="1" x14ac:dyDescent="0.35">
      <c r="A78" s="13"/>
      <c r="B78" s="30"/>
      <c r="C78" s="30"/>
      <c r="D78" s="30"/>
      <c r="E78" s="30"/>
      <c r="F78" s="30"/>
      <c r="G78" s="30"/>
      <c r="H78" s="31">
        <v>0.35</v>
      </c>
      <c r="I78" s="32"/>
    </row>
    <row r="79" spans="1:9" ht="17.25" thickBot="1" x14ac:dyDescent="0.35">
      <c r="A79" s="41" t="s">
        <v>35</v>
      </c>
      <c r="B79" s="42" t="s">
        <v>1</v>
      </c>
      <c r="C79" s="42" t="s">
        <v>36</v>
      </c>
      <c r="D79" s="42" t="s">
        <v>26</v>
      </c>
      <c r="E79" s="42" t="s">
        <v>2</v>
      </c>
      <c r="F79" s="42" t="s">
        <v>3</v>
      </c>
      <c r="G79" s="42" t="s">
        <v>4</v>
      </c>
      <c r="H79" s="42" t="s">
        <v>8</v>
      </c>
      <c r="I79" s="44" t="s">
        <v>6</v>
      </c>
    </row>
    <row r="80" spans="1:9" x14ac:dyDescent="0.3">
      <c r="A80" s="13">
        <v>2</v>
      </c>
      <c r="B80" s="30">
        <v>0</v>
      </c>
      <c r="C80" s="30"/>
      <c r="D80" s="30"/>
      <c r="E80" s="30">
        <f>C80+D80</f>
        <v>0</v>
      </c>
      <c r="F80" s="30">
        <v>0</v>
      </c>
      <c r="G80" s="30">
        <v>0</v>
      </c>
      <c r="H80" s="30">
        <v>0</v>
      </c>
      <c r="I80" s="32">
        <f>E80</f>
        <v>0</v>
      </c>
    </row>
    <row r="81" spans="1:9" x14ac:dyDescent="0.3">
      <c r="A81" s="13">
        <v>3</v>
      </c>
      <c r="B81" s="30">
        <v>1</v>
      </c>
      <c r="C81" s="30">
        <v>-120000</v>
      </c>
      <c r="D81" s="30"/>
      <c r="E81" s="30">
        <f t="shared" ref="E81:E83" si="23">C81+D81</f>
        <v>-120000</v>
      </c>
      <c r="F81" s="30">
        <f t="shared" ref="F81:F83" si="24">300000/5</f>
        <v>60000</v>
      </c>
      <c r="G81" s="30">
        <f>E81-F81</f>
        <v>-180000</v>
      </c>
      <c r="H81" s="30">
        <f>G81*$H$78</f>
        <v>-62999.999999999993</v>
      </c>
      <c r="I81" s="32">
        <f>E81-H81</f>
        <v>-57000.000000000007</v>
      </c>
    </row>
    <row r="82" spans="1:9" x14ac:dyDescent="0.3">
      <c r="A82" s="13">
        <v>4</v>
      </c>
      <c r="B82" s="30">
        <v>2</v>
      </c>
      <c r="C82" s="30">
        <v>-120000</v>
      </c>
      <c r="D82" s="30"/>
      <c r="E82" s="30">
        <f t="shared" si="23"/>
        <v>-120000</v>
      </c>
      <c r="F82" s="30">
        <f t="shared" si="24"/>
        <v>60000</v>
      </c>
      <c r="G82" s="30">
        <f t="shared" ref="G82:G83" si="25">E82-F82</f>
        <v>-180000</v>
      </c>
      <c r="H82" s="30">
        <f>G82*$H$78</f>
        <v>-62999.999999999993</v>
      </c>
      <c r="I82" s="32">
        <f>E82-H82</f>
        <v>-57000.000000000007</v>
      </c>
    </row>
    <row r="83" spans="1:9" ht="17.25" thickBot="1" x14ac:dyDescent="0.35">
      <c r="A83" s="17">
        <v>5</v>
      </c>
      <c r="B83" s="35">
        <v>3</v>
      </c>
      <c r="C83" s="35">
        <v>-120000</v>
      </c>
      <c r="D83" s="35">
        <v>0</v>
      </c>
      <c r="E83" s="35">
        <f t="shared" si="23"/>
        <v>-120000</v>
      </c>
      <c r="F83" s="35">
        <f t="shared" si="24"/>
        <v>60000</v>
      </c>
      <c r="G83" s="35">
        <f t="shared" si="25"/>
        <v>-180000</v>
      </c>
      <c r="H83" s="35">
        <f>G83*$H$78</f>
        <v>-62999.999999999993</v>
      </c>
      <c r="I83" s="36">
        <f>E83-H83</f>
        <v>-57000.000000000007</v>
      </c>
    </row>
    <row r="84" spans="1:9" ht="17.25" thickBot="1" x14ac:dyDescent="0.35">
      <c r="A84" s="13"/>
      <c r="B84" s="30"/>
      <c r="C84" s="30"/>
      <c r="D84" s="30"/>
      <c r="E84" s="30"/>
      <c r="F84" s="30"/>
      <c r="G84" s="30"/>
      <c r="H84" s="30"/>
      <c r="I84" s="32"/>
    </row>
    <row r="85" spans="1:9" ht="17.25" thickBot="1" x14ac:dyDescent="0.35">
      <c r="A85" s="45"/>
      <c r="B85" s="44" t="s">
        <v>31</v>
      </c>
      <c r="C85" s="30"/>
      <c r="D85" s="30"/>
      <c r="E85" s="30"/>
      <c r="F85" s="30"/>
      <c r="G85" s="30"/>
      <c r="H85" s="30"/>
      <c r="I85" s="32"/>
    </row>
    <row r="86" spans="1:9" x14ac:dyDescent="0.3">
      <c r="A86" s="46" t="s">
        <v>6</v>
      </c>
      <c r="B86" s="32">
        <f>I83</f>
        <v>-57000.000000000007</v>
      </c>
      <c r="C86" s="30"/>
      <c r="D86" s="30"/>
      <c r="E86" s="30"/>
      <c r="F86" s="30"/>
      <c r="G86" s="30"/>
      <c r="H86" s="30"/>
      <c r="I86" s="32"/>
    </row>
    <row r="87" spans="1:9" ht="17.25" thickBot="1" x14ac:dyDescent="0.35">
      <c r="A87" s="47" t="s">
        <v>10</v>
      </c>
      <c r="B87" s="36">
        <f>B86</f>
        <v>-57000.000000000007</v>
      </c>
      <c r="C87" s="30"/>
      <c r="D87" s="30"/>
      <c r="E87" s="30"/>
      <c r="F87" s="30"/>
      <c r="G87" s="30"/>
      <c r="H87" s="30"/>
      <c r="I87" s="32"/>
    </row>
    <row r="88" spans="1:9" ht="17.25" thickBot="1" x14ac:dyDescent="0.35">
      <c r="A88" s="13"/>
      <c r="B88" s="30"/>
      <c r="C88" s="30"/>
      <c r="D88" s="30"/>
      <c r="E88" s="30"/>
      <c r="F88" s="30"/>
      <c r="G88" s="30"/>
      <c r="H88" s="31">
        <v>0.35</v>
      </c>
      <c r="I88" s="32"/>
    </row>
    <row r="89" spans="1:9" ht="17.25" thickBot="1" x14ac:dyDescent="0.35">
      <c r="A89" s="41" t="s">
        <v>37</v>
      </c>
      <c r="B89" s="42" t="s">
        <v>1</v>
      </c>
      <c r="C89" s="42" t="s">
        <v>36</v>
      </c>
      <c r="D89" s="42" t="s">
        <v>26</v>
      </c>
      <c r="E89" s="42" t="s">
        <v>2</v>
      </c>
      <c r="F89" s="42" t="s">
        <v>3</v>
      </c>
      <c r="G89" s="42" t="s">
        <v>4</v>
      </c>
      <c r="H89" s="42" t="s">
        <v>8</v>
      </c>
      <c r="I89" s="44" t="s">
        <v>6</v>
      </c>
    </row>
    <row r="90" spans="1:9" x14ac:dyDescent="0.3">
      <c r="A90" s="13"/>
      <c r="B90" s="30">
        <v>0</v>
      </c>
      <c r="C90" s="30"/>
      <c r="D90" s="30">
        <f>-420000+100000</f>
        <v>-320000</v>
      </c>
      <c r="E90" s="30">
        <f>D90</f>
        <v>-320000</v>
      </c>
      <c r="F90" s="30">
        <v>0</v>
      </c>
      <c r="G90" s="30">
        <f>100000-(300000-60000*2)</f>
        <v>-80000</v>
      </c>
      <c r="H90" s="30">
        <f>G90*$H$88</f>
        <v>-28000</v>
      </c>
      <c r="I90" s="32">
        <f>E90-H90</f>
        <v>-292000</v>
      </c>
    </row>
    <row r="91" spans="1:9" x14ac:dyDescent="0.3">
      <c r="A91" s="13"/>
      <c r="B91" s="30">
        <v>1</v>
      </c>
      <c r="C91" s="30">
        <v>-30000</v>
      </c>
      <c r="D91" s="30"/>
      <c r="E91" s="30">
        <f>C91+D91</f>
        <v>-30000</v>
      </c>
      <c r="F91" s="30">
        <v>140000</v>
      </c>
      <c r="G91" s="30">
        <f>E91-F91</f>
        <v>-170000</v>
      </c>
      <c r="H91" s="30">
        <f>G91*$H$88</f>
        <v>-59499.999999999993</v>
      </c>
      <c r="I91" s="32">
        <f t="shared" ref="I91:I93" si="26">E91-H91</f>
        <v>29499.999999999993</v>
      </c>
    </row>
    <row r="92" spans="1:9" x14ac:dyDescent="0.3">
      <c r="A92" s="13"/>
      <c r="B92" s="30">
        <v>2</v>
      </c>
      <c r="C92" s="30">
        <v>-30000</v>
      </c>
      <c r="D92" s="30"/>
      <c r="E92" s="30">
        <f t="shared" ref="E92:E93" si="27">C92+D92</f>
        <v>-30000</v>
      </c>
      <c r="F92" s="30">
        <v>140000</v>
      </c>
      <c r="G92" s="30">
        <f t="shared" ref="G92:G93" si="28">E92-F92</f>
        <v>-170000</v>
      </c>
      <c r="H92" s="30">
        <f>G92*$H$88</f>
        <v>-59499.999999999993</v>
      </c>
      <c r="I92" s="32">
        <f t="shared" si="26"/>
        <v>29499.999999999993</v>
      </c>
    </row>
    <row r="93" spans="1:9" ht="17.25" thickBot="1" x14ac:dyDescent="0.35">
      <c r="A93" s="17"/>
      <c r="B93" s="35">
        <v>3</v>
      </c>
      <c r="C93" s="35">
        <v>-30000</v>
      </c>
      <c r="D93" s="35"/>
      <c r="E93" s="35">
        <f t="shared" si="27"/>
        <v>-30000</v>
      </c>
      <c r="F93" s="35">
        <v>140000</v>
      </c>
      <c r="G93" s="35">
        <f t="shared" si="28"/>
        <v>-170000</v>
      </c>
      <c r="H93" s="35">
        <f>G93*$H$88</f>
        <v>-59499.999999999993</v>
      </c>
      <c r="I93" s="36">
        <f t="shared" si="26"/>
        <v>29499.999999999993</v>
      </c>
    </row>
    <row r="94" spans="1:9" ht="17.25" thickBot="1" x14ac:dyDescent="0.35">
      <c r="A94" s="13"/>
      <c r="B94" s="30"/>
      <c r="C94" s="30"/>
      <c r="D94" s="30"/>
      <c r="E94" s="30"/>
      <c r="F94" s="30"/>
      <c r="G94" s="30"/>
      <c r="H94" s="30" t="s">
        <v>58</v>
      </c>
      <c r="I94" s="32">
        <f>NPV(15%,I91:I93)+I90</f>
        <v>-224644.85904495767</v>
      </c>
    </row>
    <row r="95" spans="1:9" ht="17.25" thickBot="1" x14ac:dyDescent="0.35">
      <c r="A95" s="45"/>
      <c r="B95" s="44" t="s">
        <v>31</v>
      </c>
      <c r="C95" s="30"/>
      <c r="D95" s="30"/>
      <c r="E95" s="30"/>
      <c r="F95" s="30"/>
      <c r="G95" s="30"/>
      <c r="H95" s="30" t="s">
        <v>31</v>
      </c>
      <c r="I95" s="32">
        <f>-PMT(15%,3,I94)</f>
        <v>-98389.272858171375</v>
      </c>
    </row>
    <row r="96" spans="1:9" x14ac:dyDescent="0.3">
      <c r="A96" s="46" t="s">
        <v>32</v>
      </c>
      <c r="B96" s="32">
        <f>-PMT(15%,3,D90)</f>
        <v>-140152.62778977683</v>
      </c>
      <c r="C96" s="30"/>
      <c r="D96" s="30"/>
      <c r="E96" s="30"/>
      <c r="F96" s="30"/>
      <c r="G96" s="30"/>
      <c r="H96" s="30"/>
      <c r="I96" s="32"/>
    </row>
    <row r="97" spans="1:13" x14ac:dyDescent="0.3">
      <c r="A97" s="46" t="s">
        <v>6</v>
      </c>
      <c r="B97" s="32">
        <f>I93</f>
        <v>29499.999999999993</v>
      </c>
      <c r="C97" s="30"/>
      <c r="D97" s="30"/>
      <c r="E97" s="30"/>
      <c r="F97" s="30"/>
      <c r="G97" s="30"/>
      <c r="H97" s="30"/>
      <c r="I97" s="32"/>
    </row>
    <row r="98" spans="1:13" ht="17.25" thickBot="1" x14ac:dyDescent="0.35">
      <c r="A98" s="47" t="s">
        <v>10</v>
      </c>
      <c r="B98" s="36">
        <f>SUM(B96:B97)</f>
        <v>-110652.62778977683</v>
      </c>
      <c r="C98" s="30"/>
      <c r="D98" s="30"/>
      <c r="E98" s="30"/>
      <c r="F98" s="30"/>
      <c r="G98" s="30"/>
      <c r="H98" s="30"/>
      <c r="I98" s="32"/>
    </row>
    <row r="99" spans="1:13" x14ac:dyDescent="0.3">
      <c r="A99" s="13"/>
      <c r="B99" s="30"/>
      <c r="C99" s="30"/>
      <c r="D99" s="30"/>
      <c r="E99" s="30"/>
      <c r="F99" s="30"/>
      <c r="G99" s="30"/>
      <c r="H99" s="30"/>
      <c r="I99" s="32"/>
    </row>
    <row r="100" spans="1:13" ht="17.25" thickBot="1" x14ac:dyDescent="0.35">
      <c r="A100" s="17" t="s">
        <v>38</v>
      </c>
      <c r="B100" s="35"/>
      <c r="C100" s="35"/>
      <c r="D100" s="35"/>
      <c r="E100" s="35"/>
      <c r="F100" s="35"/>
      <c r="G100" s="35"/>
      <c r="H100" s="35"/>
      <c r="I100" s="36"/>
    </row>
    <row r="102" spans="1:13" hidden="1" x14ac:dyDescent="0.3">
      <c r="A102" s="27">
        <v>17.59</v>
      </c>
      <c r="B102" s="28"/>
      <c r="C102" s="28"/>
      <c r="D102" s="28"/>
      <c r="E102" s="28"/>
      <c r="F102" s="28"/>
      <c r="G102" s="28"/>
      <c r="H102" s="28"/>
      <c r="I102" s="29"/>
    </row>
    <row r="103" spans="1:13" ht="17.25" hidden="1" thickBot="1" x14ac:dyDescent="0.35">
      <c r="A103" s="13"/>
      <c r="B103" s="30"/>
      <c r="C103" s="30"/>
      <c r="D103" s="30"/>
      <c r="E103" s="30"/>
      <c r="F103" s="30"/>
      <c r="G103" s="30"/>
      <c r="H103" s="31">
        <v>0.32</v>
      </c>
      <c r="I103" s="32"/>
    </row>
    <row r="104" spans="1:13" hidden="1" x14ac:dyDescent="0.3">
      <c r="A104" s="12" t="s">
        <v>35</v>
      </c>
      <c r="B104" s="28" t="s">
        <v>1</v>
      </c>
      <c r="C104" s="28" t="s">
        <v>36</v>
      </c>
      <c r="D104" s="28" t="s">
        <v>26</v>
      </c>
      <c r="E104" s="50" t="s">
        <v>2</v>
      </c>
      <c r="F104" s="28" t="s">
        <v>3</v>
      </c>
      <c r="G104" s="50" t="s">
        <v>4</v>
      </c>
      <c r="H104" s="50" t="s">
        <v>8</v>
      </c>
      <c r="I104" s="51" t="s">
        <v>6</v>
      </c>
    </row>
    <row r="105" spans="1:13" hidden="1" x14ac:dyDescent="0.3">
      <c r="A105" s="13">
        <f t="shared" ref="A105:A108" si="29">A106-1</f>
        <v>7</v>
      </c>
      <c r="B105" s="30">
        <v>0</v>
      </c>
      <c r="C105" s="30"/>
      <c r="D105" s="30"/>
      <c r="E105" s="30"/>
      <c r="F105" s="30"/>
      <c r="G105" s="30"/>
      <c r="H105" s="30"/>
      <c r="I105" s="32"/>
      <c r="J105" s="49"/>
      <c r="K105" s="49"/>
      <c r="L105" s="49"/>
      <c r="M105" s="49"/>
    </row>
    <row r="106" spans="1:13" hidden="1" x14ac:dyDescent="0.3">
      <c r="A106" s="13">
        <f t="shared" si="29"/>
        <v>8</v>
      </c>
      <c r="B106" s="30">
        <v>1</v>
      </c>
      <c r="C106" s="30">
        <v>-160000</v>
      </c>
      <c r="D106" s="30"/>
      <c r="E106" s="30">
        <f>C106+D106</f>
        <v>-160000</v>
      </c>
      <c r="F106" s="30">
        <f>450000/12</f>
        <v>37500</v>
      </c>
      <c r="G106" s="30">
        <f>E106-F106</f>
        <v>-197500</v>
      </c>
      <c r="H106" s="30">
        <f>G106*$H$103</f>
        <v>-63200</v>
      </c>
      <c r="I106" s="19">
        <f>E106-H106</f>
        <v>-96800</v>
      </c>
      <c r="J106" s="49"/>
      <c r="K106" s="49"/>
      <c r="L106" s="49"/>
      <c r="M106" s="49"/>
    </row>
    <row r="107" spans="1:13" hidden="1" x14ac:dyDescent="0.3">
      <c r="A107" s="13">
        <f t="shared" si="29"/>
        <v>9</v>
      </c>
      <c r="B107" s="30">
        <v>2</v>
      </c>
      <c r="C107" s="30">
        <v>-160000</v>
      </c>
      <c r="D107" s="30"/>
      <c r="E107" s="30">
        <f t="shared" ref="E107:E110" si="30">C107+D107</f>
        <v>-160000</v>
      </c>
      <c r="F107" s="30">
        <f t="shared" ref="F107:F110" si="31">450000/12</f>
        <v>37500</v>
      </c>
      <c r="G107" s="30">
        <f t="shared" ref="G107:G110" si="32">E107-F107</f>
        <v>-197500</v>
      </c>
      <c r="H107" s="30">
        <f t="shared" ref="H107:H110" si="33">G107*$H$103</f>
        <v>-63200</v>
      </c>
      <c r="I107" s="19">
        <f t="shared" ref="I107:I110" si="34">E107-H107</f>
        <v>-96800</v>
      </c>
      <c r="J107" s="49"/>
      <c r="K107" s="49"/>
      <c r="L107" s="49"/>
      <c r="M107" s="49"/>
    </row>
    <row r="108" spans="1:13" hidden="1" x14ac:dyDescent="0.3">
      <c r="A108" s="13">
        <f t="shared" si="29"/>
        <v>10</v>
      </c>
      <c r="B108" s="30">
        <v>3</v>
      </c>
      <c r="C108" s="30">
        <v>-160000</v>
      </c>
      <c r="D108" s="30"/>
      <c r="E108" s="30">
        <f t="shared" si="30"/>
        <v>-160000</v>
      </c>
      <c r="F108" s="30">
        <f t="shared" si="31"/>
        <v>37500</v>
      </c>
      <c r="G108" s="30">
        <f t="shared" si="32"/>
        <v>-197500</v>
      </c>
      <c r="H108" s="30">
        <f t="shared" si="33"/>
        <v>-63200</v>
      </c>
      <c r="I108" s="19">
        <f t="shared" si="34"/>
        <v>-96800</v>
      </c>
    </row>
    <row r="109" spans="1:13" hidden="1" x14ac:dyDescent="0.3">
      <c r="A109" s="13">
        <f>A110-1</f>
        <v>11</v>
      </c>
      <c r="B109" s="30">
        <v>4</v>
      </c>
      <c r="C109" s="30">
        <v>-160000</v>
      </c>
      <c r="D109" s="30"/>
      <c r="E109" s="30">
        <f t="shared" si="30"/>
        <v>-160000</v>
      </c>
      <c r="F109" s="30">
        <f t="shared" si="31"/>
        <v>37500</v>
      </c>
      <c r="G109" s="30">
        <f t="shared" si="32"/>
        <v>-197500</v>
      </c>
      <c r="H109" s="30">
        <f t="shared" si="33"/>
        <v>-63200</v>
      </c>
      <c r="I109" s="19">
        <f t="shared" si="34"/>
        <v>-96800</v>
      </c>
    </row>
    <row r="110" spans="1:13" ht="17.25" hidden="1" thickBot="1" x14ac:dyDescent="0.35">
      <c r="A110" s="17">
        <v>12</v>
      </c>
      <c r="B110" s="35">
        <v>5</v>
      </c>
      <c r="C110" s="35">
        <v>-160000</v>
      </c>
      <c r="D110" s="35"/>
      <c r="E110" s="35">
        <f t="shared" si="30"/>
        <v>-160000</v>
      </c>
      <c r="F110" s="35">
        <f t="shared" si="31"/>
        <v>37500</v>
      </c>
      <c r="G110" s="35">
        <f t="shared" si="32"/>
        <v>-197500</v>
      </c>
      <c r="H110" s="35">
        <f t="shared" si="33"/>
        <v>-63200</v>
      </c>
      <c r="I110" s="20">
        <f t="shared" si="34"/>
        <v>-96800</v>
      </c>
    </row>
    <row r="111" spans="1:13" ht="17.25" hidden="1" thickBot="1" x14ac:dyDescent="0.35">
      <c r="A111" s="13"/>
      <c r="B111" s="30"/>
      <c r="C111" s="30"/>
      <c r="D111" s="30"/>
      <c r="E111" s="30"/>
      <c r="F111" s="30"/>
      <c r="G111" s="30"/>
      <c r="H111" s="45" t="s">
        <v>40</v>
      </c>
      <c r="I111" s="26">
        <f>NPV(10%,I106:I110)</f>
        <v>-366948.15927873767</v>
      </c>
      <c r="J111" s="48"/>
    </row>
    <row r="112" spans="1:13" ht="17.25" hidden="1" thickBot="1" x14ac:dyDescent="0.35">
      <c r="A112" s="13"/>
      <c r="B112" s="30"/>
      <c r="C112" s="30"/>
      <c r="D112" s="30"/>
      <c r="E112" s="30"/>
      <c r="F112" s="30"/>
      <c r="G112" s="30"/>
      <c r="H112" s="47" t="s">
        <v>39</v>
      </c>
      <c r="I112" s="20">
        <f>-PMT(10%,5,I111)</f>
        <v>-96799.999999999985</v>
      </c>
    </row>
    <row r="113" spans="1:9" hidden="1" x14ac:dyDescent="0.3">
      <c r="A113" s="13"/>
      <c r="B113" s="30"/>
      <c r="C113" s="30"/>
      <c r="D113" s="30"/>
      <c r="E113" s="30"/>
      <c r="F113" s="30"/>
      <c r="G113" s="30"/>
      <c r="H113" s="30"/>
      <c r="I113" s="32"/>
    </row>
    <row r="114" spans="1:9" ht="17.25" hidden="1" thickBot="1" x14ac:dyDescent="0.35">
      <c r="A114" s="13"/>
      <c r="B114" s="30"/>
      <c r="C114" s="30"/>
      <c r="D114" s="30"/>
      <c r="E114" s="30"/>
      <c r="F114" s="30"/>
      <c r="G114" s="30"/>
      <c r="H114" s="31">
        <v>0.32</v>
      </c>
      <c r="I114" s="32"/>
    </row>
    <row r="115" spans="1:9" hidden="1" x14ac:dyDescent="0.3">
      <c r="A115" s="12" t="s">
        <v>37</v>
      </c>
      <c r="B115" s="28" t="s">
        <v>1</v>
      </c>
      <c r="C115" s="28" t="s">
        <v>36</v>
      </c>
      <c r="D115" s="28" t="s">
        <v>26</v>
      </c>
      <c r="E115" s="50" t="s">
        <v>2</v>
      </c>
      <c r="F115" s="28" t="s">
        <v>3</v>
      </c>
      <c r="G115" s="50" t="s">
        <v>4</v>
      </c>
      <c r="H115" s="50" t="s">
        <v>8</v>
      </c>
      <c r="I115" s="51" t="s">
        <v>6</v>
      </c>
    </row>
    <row r="116" spans="1:9" hidden="1" x14ac:dyDescent="0.3">
      <c r="A116" s="13"/>
      <c r="B116" s="30">
        <v>0</v>
      </c>
      <c r="C116" s="30"/>
      <c r="D116" s="30">
        <f>-700000+50000</f>
        <v>-650000</v>
      </c>
      <c r="E116" s="30">
        <f>C116+D116</f>
        <v>-650000</v>
      </c>
      <c r="F116" s="30"/>
      <c r="G116" s="30"/>
      <c r="H116" s="30"/>
      <c r="I116" s="32">
        <f>E116-H116</f>
        <v>-650000</v>
      </c>
    </row>
    <row r="117" spans="1:9" hidden="1" x14ac:dyDescent="0.3">
      <c r="A117" s="13"/>
      <c r="B117" s="30">
        <v>1</v>
      </c>
      <c r="C117" s="30">
        <v>-150000</v>
      </c>
      <c r="D117" s="30"/>
      <c r="E117" s="30">
        <f t="shared" ref="E117:E125" si="35">C117+D117</f>
        <v>-150000</v>
      </c>
      <c r="F117" s="30">
        <f>-$E$116/10</f>
        <v>65000</v>
      </c>
      <c r="G117" s="30">
        <f>E117-F117</f>
        <v>-215000</v>
      </c>
      <c r="H117" s="30">
        <f t="shared" ref="H117:H126" si="36">G117*$H$114</f>
        <v>-68800</v>
      </c>
      <c r="I117" s="32">
        <f t="shared" ref="I117:I126" si="37">E117-H117</f>
        <v>-81200</v>
      </c>
    </row>
    <row r="118" spans="1:9" hidden="1" x14ac:dyDescent="0.3">
      <c r="A118" s="13"/>
      <c r="B118" s="30">
        <v>2</v>
      </c>
      <c r="C118" s="30">
        <v>-150000</v>
      </c>
      <c r="D118" s="30"/>
      <c r="E118" s="30">
        <f t="shared" si="35"/>
        <v>-150000</v>
      </c>
      <c r="F118" s="30">
        <f t="shared" ref="F118:F126" si="38">-$E$116/10</f>
        <v>65000</v>
      </c>
      <c r="G118" s="30">
        <f t="shared" ref="G118:G126" si="39">E118-F118</f>
        <v>-215000</v>
      </c>
      <c r="H118" s="30">
        <f t="shared" si="36"/>
        <v>-68800</v>
      </c>
      <c r="I118" s="32">
        <f t="shared" si="37"/>
        <v>-81200</v>
      </c>
    </row>
    <row r="119" spans="1:9" hidden="1" x14ac:dyDescent="0.3">
      <c r="A119" s="13"/>
      <c r="B119" s="30">
        <v>3</v>
      </c>
      <c r="C119" s="30">
        <v>-150000</v>
      </c>
      <c r="D119" s="30"/>
      <c r="E119" s="30">
        <f t="shared" si="35"/>
        <v>-150000</v>
      </c>
      <c r="F119" s="30">
        <f t="shared" si="38"/>
        <v>65000</v>
      </c>
      <c r="G119" s="30">
        <f t="shared" si="39"/>
        <v>-215000</v>
      </c>
      <c r="H119" s="30">
        <f t="shared" si="36"/>
        <v>-68800</v>
      </c>
      <c r="I119" s="32">
        <f t="shared" si="37"/>
        <v>-81200</v>
      </c>
    </row>
    <row r="120" spans="1:9" hidden="1" x14ac:dyDescent="0.3">
      <c r="A120" s="13"/>
      <c r="B120" s="30">
        <v>4</v>
      </c>
      <c r="C120" s="30">
        <v>-150000</v>
      </c>
      <c r="D120" s="30"/>
      <c r="E120" s="30">
        <f t="shared" si="35"/>
        <v>-150000</v>
      </c>
      <c r="F120" s="30">
        <f t="shared" si="38"/>
        <v>65000</v>
      </c>
      <c r="G120" s="30">
        <f t="shared" si="39"/>
        <v>-215000</v>
      </c>
      <c r="H120" s="30">
        <f t="shared" si="36"/>
        <v>-68800</v>
      </c>
      <c r="I120" s="32">
        <f t="shared" si="37"/>
        <v>-81200</v>
      </c>
    </row>
    <row r="121" spans="1:9" hidden="1" x14ac:dyDescent="0.3">
      <c r="A121" s="13"/>
      <c r="B121" s="30">
        <v>5</v>
      </c>
      <c r="C121" s="30">
        <v>-150000</v>
      </c>
      <c r="D121" s="30"/>
      <c r="E121" s="30">
        <f t="shared" si="35"/>
        <v>-150000</v>
      </c>
      <c r="F121" s="30">
        <f t="shared" si="38"/>
        <v>65000</v>
      </c>
      <c r="G121" s="30">
        <f t="shared" si="39"/>
        <v>-215000</v>
      </c>
      <c r="H121" s="30">
        <f t="shared" si="36"/>
        <v>-68800</v>
      </c>
      <c r="I121" s="32">
        <f t="shared" si="37"/>
        <v>-81200</v>
      </c>
    </row>
    <row r="122" spans="1:9" hidden="1" x14ac:dyDescent="0.3">
      <c r="A122" s="13"/>
      <c r="B122" s="30">
        <v>6</v>
      </c>
      <c r="C122" s="30">
        <v>-150000</v>
      </c>
      <c r="D122" s="30"/>
      <c r="E122" s="30">
        <f t="shared" si="35"/>
        <v>-150000</v>
      </c>
      <c r="F122" s="30">
        <f t="shared" si="38"/>
        <v>65000</v>
      </c>
      <c r="G122" s="30">
        <f t="shared" si="39"/>
        <v>-215000</v>
      </c>
      <c r="H122" s="30">
        <f t="shared" si="36"/>
        <v>-68800</v>
      </c>
      <c r="I122" s="32">
        <f t="shared" si="37"/>
        <v>-81200</v>
      </c>
    </row>
    <row r="123" spans="1:9" hidden="1" x14ac:dyDescent="0.3">
      <c r="A123" s="13"/>
      <c r="B123" s="30">
        <v>7</v>
      </c>
      <c r="C123" s="30">
        <v>-150000</v>
      </c>
      <c r="D123" s="30"/>
      <c r="E123" s="30">
        <f t="shared" si="35"/>
        <v>-150000</v>
      </c>
      <c r="F123" s="30">
        <f t="shared" si="38"/>
        <v>65000</v>
      </c>
      <c r="G123" s="30">
        <f t="shared" si="39"/>
        <v>-215000</v>
      </c>
      <c r="H123" s="30">
        <f t="shared" si="36"/>
        <v>-68800</v>
      </c>
      <c r="I123" s="32">
        <f t="shared" si="37"/>
        <v>-81200</v>
      </c>
    </row>
    <row r="124" spans="1:9" hidden="1" x14ac:dyDescent="0.3">
      <c r="A124" s="13"/>
      <c r="B124" s="30">
        <v>8</v>
      </c>
      <c r="C124" s="30">
        <v>-150000</v>
      </c>
      <c r="D124" s="30"/>
      <c r="E124" s="30">
        <f t="shared" si="35"/>
        <v>-150000</v>
      </c>
      <c r="F124" s="30">
        <f t="shared" si="38"/>
        <v>65000</v>
      </c>
      <c r="G124" s="30">
        <f t="shared" si="39"/>
        <v>-215000</v>
      </c>
      <c r="H124" s="30">
        <f t="shared" si="36"/>
        <v>-68800</v>
      </c>
      <c r="I124" s="32">
        <f t="shared" si="37"/>
        <v>-81200</v>
      </c>
    </row>
    <row r="125" spans="1:9" hidden="1" x14ac:dyDescent="0.3">
      <c r="A125" s="13"/>
      <c r="B125" s="30">
        <v>9</v>
      </c>
      <c r="C125" s="30">
        <v>-150000</v>
      </c>
      <c r="D125" s="30"/>
      <c r="E125" s="30">
        <f t="shared" si="35"/>
        <v>-150000</v>
      </c>
      <c r="F125" s="30">
        <f t="shared" si="38"/>
        <v>65000</v>
      </c>
      <c r="G125" s="30">
        <f t="shared" si="39"/>
        <v>-215000</v>
      </c>
      <c r="H125" s="30">
        <f t="shared" si="36"/>
        <v>-68800</v>
      </c>
      <c r="I125" s="32">
        <f t="shared" si="37"/>
        <v>-81200</v>
      </c>
    </row>
    <row r="126" spans="1:9" ht="17.25" hidden="1" thickBot="1" x14ac:dyDescent="0.35">
      <c r="A126" s="17"/>
      <c r="B126" s="35">
        <v>10</v>
      </c>
      <c r="C126" s="35">
        <v>-150000</v>
      </c>
      <c r="D126" s="35">
        <v>50000</v>
      </c>
      <c r="E126" s="35">
        <f>C126+D126</f>
        <v>-100000</v>
      </c>
      <c r="F126" s="35">
        <f t="shared" si="38"/>
        <v>65000</v>
      </c>
      <c r="G126" s="35">
        <f t="shared" si="39"/>
        <v>-165000</v>
      </c>
      <c r="H126" s="35">
        <f t="shared" si="36"/>
        <v>-52800</v>
      </c>
      <c r="I126" s="36">
        <f t="shared" si="37"/>
        <v>-47200</v>
      </c>
    </row>
    <row r="127" spans="1:9" ht="17.25" hidden="1" thickBot="1" x14ac:dyDescent="0.35">
      <c r="A127" s="13"/>
      <c r="B127" s="30"/>
      <c r="C127" s="30"/>
      <c r="D127" s="30"/>
      <c r="E127" s="30"/>
      <c r="F127" s="30"/>
      <c r="G127" s="30"/>
      <c r="H127" s="41" t="s">
        <v>40</v>
      </c>
      <c r="I127" s="25">
        <f>NPV(10%,I117:I126)+I116</f>
        <v>-1135830.3771426161</v>
      </c>
    </row>
    <row r="128" spans="1:9" ht="17.25" hidden="1" thickBot="1" x14ac:dyDescent="0.35">
      <c r="A128" s="17"/>
      <c r="B128" s="35"/>
      <c r="C128" s="35"/>
      <c r="D128" s="35"/>
      <c r="E128" s="35"/>
      <c r="F128" s="35"/>
      <c r="G128" s="35"/>
      <c r="H128" s="17" t="s">
        <v>39</v>
      </c>
      <c r="I128" s="52">
        <f>-PMT(10%,10,I127)</f>
        <v>-184851.16324762715</v>
      </c>
    </row>
    <row r="129" spans="1:11" ht="17.25" hidden="1" thickBot="1" x14ac:dyDescent="0.35">
      <c r="A129" s="41" t="s">
        <v>41</v>
      </c>
      <c r="B129" s="42"/>
      <c r="C129" s="42"/>
      <c r="D129" s="42"/>
      <c r="E129" s="42"/>
      <c r="F129" s="42"/>
      <c r="G129" s="42"/>
      <c r="H129" s="42"/>
      <c r="I129" s="44"/>
    </row>
    <row r="130" spans="1:11" ht="17.25" thickBot="1" x14ac:dyDescent="0.35"/>
    <row r="131" spans="1:11" ht="17.25" thickBot="1" x14ac:dyDescent="0.35">
      <c r="A131" s="27">
        <v>17.66</v>
      </c>
      <c r="B131" s="28"/>
      <c r="C131" s="28"/>
      <c r="D131" s="28"/>
      <c r="E131" s="28"/>
      <c r="F131" s="28"/>
      <c r="G131" s="28"/>
      <c r="H131" s="28"/>
      <c r="I131" s="28"/>
      <c r="J131" s="28"/>
      <c r="K131" s="29"/>
    </row>
    <row r="132" spans="1:11" ht="17.25" thickBot="1" x14ac:dyDescent="0.35">
      <c r="A132" s="12" t="s">
        <v>48</v>
      </c>
      <c r="B132" s="28"/>
      <c r="C132" s="28"/>
      <c r="D132" s="28"/>
      <c r="E132" s="28"/>
      <c r="F132" s="28"/>
      <c r="G132" s="50">
        <v>0.3</v>
      </c>
      <c r="H132" s="28"/>
      <c r="I132" s="50">
        <v>0.08</v>
      </c>
      <c r="J132" s="28"/>
      <c r="K132" s="29"/>
    </row>
    <row r="133" spans="1:11" ht="17.25" thickBot="1" x14ac:dyDescent="0.35">
      <c r="A133" s="45" t="s">
        <v>1</v>
      </c>
      <c r="B133" s="44" t="s">
        <v>32</v>
      </c>
      <c r="C133" s="44" t="s">
        <v>42</v>
      </c>
      <c r="D133" s="44" t="s">
        <v>3</v>
      </c>
      <c r="E133" s="44" t="s">
        <v>16</v>
      </c>
      <c r="F133" s="44" t="s">
        <v>4</v>
      </c>
      <c r="G133" s="44" t="s">
        <v>8</v>
      </c>
      <c r="H133" s="44" t="s">
        <v>43</v>
      </c>
      <c r="I133" s="44" t="s">
        <v>44</v>
      </c>
      <c r="J133" s="44" t="s">
        <v>45</v>
      </c>
      <c r="K133" s="44" t="s">
        <v>6</v>
      </c>
    </row>
    <row r="134" spans="1:11" x14ac:dyDescent="0.3">
      <c r="A134" s="46">
        <v>0</v>
      </c>
      <c r="B134" s="32">
        <v>-4200000</v>
      </c>
      <c r="C134" s="32"/>
      <c r="D134" s="32"/>
      <c r="E134" s="32">
        <f>-B134</f>
        <v>4200000</v>
      </c>
      <c r="F134" s="32"/>
      <c r="G134" s="32"/>
      <c r="H134" s="32"/>
      <c r="I134" s="32"/>
      <c r="J134" s="32"/>
      <c r="K134" s="32">
        <f>B134</f>
        <v>-4200000</v>
      </c>
    </row>
    <row r="135" spans="1:11" x14ac:dyDescent="0.3">
      <c r="A135" s="46">
        <v>1</v>
      </c>
      <c r="B135" s="32"/>
      <c r="C135" s="32">
        <v>1500000</v>
      </c>
      <c r="D135" s="32">
        <f>-$B$134/8</f>
        <v>525000</v>
      </c>
      <c r="E135" s="32">
        <f>E134-D135</f>
        <v>3675000</v>
      </c>
      <c r="F135" s="32">
        <f>C135-D135</f>
        <v>975000</v>
      </c>
      <c r="G135" s="32">
        <f>F135*$G$132</f>
        <v>292500</v>
      </c>
      <c r="H135" s="32">
        <f>F135-G135</f>
        <v>682500</v>
      </c>
      <c r="I135" s="32">
        <f>-E134*$I$132</f>
        <v>-336000</v>
      </c>
      <c r="J135" s="32">
        <f>H135+I135</f>
        <v>346500</v>
      </c>
      <c r="K135" s="32">
        <f>C135-G135</f>
        <v>1207500</v>
      </c>
    </row>
    <row r="136" spans="1:11" x14ac:dyDescent="0.3">
      <c r="A136" s="46">
        <v>2</v>
      </c>
      <c r="B136" s="32"/>
      <c r="C136" s="32">
        <f>C135+300000</f>
        <v>1800000</v>
      </c>
      <c r="D136" s="32">
        <f t="shared" ref="D136:D142" si="40">-$B$134/8</f>
        <v>525000</v>
      </c>
      <c r="E136" s="32">
        <f t="shared" ref="E136:E142" si="41">E135-D136</f>
        <v>3150000</v>
      </c>
      <c r="F136" s="32">
        <f t="shared" ref="F136:F142" si="42">C136-D136</f>
        <v>1275000</v>
      </c>
      <c r="G136" s="32">
        <f t="shared" ref="G136:G142" si="43">F136*$G$132</f>
        <v>382500</v>
      </c>
      <c r="H136" s="32">
        <f t="shared" ref="H136:H142" si="44">F136-G136</f>
        <v>892500</v>
      </c>
      <c r="I136" s="32">
        <f t="shared" ref="I136:I141" si="45">-E135*$I$132</f>
        <v>-294000</v>
      </c>
      <c r="J136" s="32">
        <f t="shared" ref="J136:J142" si="46">H136+I136</f>
        <v>598500</v>
      </c>
      <c r="K136" s="32">
        <f t="shared" ref="K136:K142" si="47">C136-G136</f>
        <v>1417500</v>
      </c>
    </row>
    <row r="137" spans="1:11" x14ac:dyDescent="0.3">
      <c r="A137" s="46">
        <v>3</v>
      </c>
      <c r="B137" s="32"/>
      <c r="C137" s="32">
        <f t="shared" ref="C137:C142" si="48">C136+300000</f>
        <v>2100000</v>
      </c>
      <c r="D137" s="32">
        <f t="shared" si="40"/>
        <v>525000</v>
      </c>
      <c r="E137" s="32">
        <f t="shared" si="41"/>
        <v>2625000</v>
      </c>
      <c r="F137" s="32">
        <f t="shared" si="42"/>
        <v>1575000</v>
      </c>
      <c r="G137" s="32">
        <f t="shared" si="43"/>
        <v>472500</v>
      </c>
      <c r="H137" s="32">
        <f t="shared" si="44"/>
        <v>1102500</v>
      </c>
      <c r="I137" s="32">
        <f t="shared" si="45"/>
        <v>-252000</v>
      </c>
      <c r="J137" s="32">
        <f t="shared" si="46"/>
        <v>850500</v>
      </c>
      <c r="K137" s="32">
        <f t="shared" si="47"/>
        <v>1627500</v>
      </c>
    </row>
    <row r="138" spans="1:11" x14ac:dyDescent="0.3">
      <c r="A138" s="46">
        <v>4</v>
      </c>
      <c r="B138" s="32"/>
      <c r="C138" s="32">
        <f t="shared" si="48"/>
        <v>2400000</v>
      </c>
      <c r="D138" s="32">
        <f t="shared" si="40"/>
        <v>525000</v>
      </c>
      <c r="E138" s="32">
        <f t="shared" si="41"/>
        <v>2100000</v>
      </c>
      <c r="F138" s="32">
        <f t="shared" si="42"/>
        <v>1875000</v>
      </c>
      <c r="G138" s="32">
        <f t="shared" si="43"/>
        <v>562500</v>
      </c>
      <c r="H138" s="32">
        <f t="shared" si="44"/>
        <v>1312500</v>
      </c>
      <c r="I138" s="32">
        <f t="shared" si="45"/>
        <v>-210000</v>
      </c>
      <c r="J138" s="32">
        <f t="shared" si="46"/>
        <v>1102500</v>
      </c>
      <c r="K138" s="32">
        <f t="shared" si="47"/>
        <v>1837500</v>
      </c>
    </row>
    <row r="139" spans="1:11" x14ac:dyDescent="0.3">
      <c r="A139" s="46">
        <v>5</v>
      </c>
      <c r="B139" s="32"/>
      <c r="C139" s="32">
        <f t="shared" si="48"/>
        <v>2700000</v>
      </c>
      <c r="D139" s="32">
        <f t="shared" si="40"/>
        <v>525000</v>
      </c>
      <c r="E139" s="32">
        <f t="shared" si="41"/>
        <v>1575000</v>
      </c>
      <c r="F139" s="32">
        <f t="shared" si="42"/>
        <v>2175000</v>
      </c>
      <c r="G139" s="32">
        <f t="shared" si="43"/>
        <v>652500</v>
      </c>
      <c r="H139" s="32">
        <f t="shared" si="44"/>
        <v>1522500</v>
      </c>
      <c r="I139" s="32">
        <f t="shared" si="45"/>
        <v>-168000</v>
      </c>
      <c r="J139" s="32">
        <f t="shared" si="46"/>
        <v>1354500</v>
      </c>
      <c r="K139" s="32">
        <f t="shared" si="47"/>
        <v>2047500</v>
      </c>
    </row>
    <row r="140" spans="1:11" x14ac:dyDescent="0.3">
      <c r="A140" s="46">
        <v>6</v>
      </c>
      <c r="B140" s="32"/>
      <c r="C140" s="32">
        <f t="shared" si="48"/>
        <v>3000000</v>
      </c>
      <c r="D140" s="32">
        <f t="shared" si="40"/>
        <v>525000</v>
      </c>
      <c r="E140" s="32">
        <f t="shared" si="41"/>
        <v>1050000</v>
      </c>
      <c r="F140" s="32">
        <f t="shared" si="42"/>
        <v>2475000</v>
      </c>
      <c r="G140" s="32">
        <f t="shared" si="43"/>
        <v>742500</v>
      </c>
      <c r="H140" s="32">
        <f t="shared" si="44"/>
        <v>1732500</v>
      </c>
      <c r="I140" s="32">
        <f t="shared" si="45"/>
        <v>-126000</v>
      </c>
      <c r="J140" s="32">
        <f t="shared" si="46"/>
        <v>1606500</v>
      </c>
      <c r="K140" s="32">
        <f t="shared" si="47"/>
        <v>2257500</v>
      </c>
    </row>
    <row r="141" spans="1:11" x14ac:dyDescent="0.3">
      <c r="A141" s="46">
        <v>7</v>
      </c>
      <c r="B141" s="32"/>
      <c r="C141" s="32">
        <f t="shared" si="48"/>
        <v>3300000</v>
      </c>
      <c r="D141" s="32">
        <f t="shared" si="40"/>
        <v>525000</v>
      </c>
      <c r="E141" s="32">
        <f t="shared" si="41"/>
        <v>525000</v>
      </c>
      <c r="F141" s="32">
        <f t="shared" si="42"/>
        <v>2775000</v>
      </c>
      <c r="G141" s="32">
        <f t="shared" si="43"/>
        <v>832500</v>
      </c>
      <c r="H141" s="32">
        <f t="shared" si="44"/>
        <v>1942500</v>
      </c>
      <c r="I141" s="32">
        <f t="shared" si="45"/>
        <v>-84000</v>
      </c>
      <c r="J141" s="32">
        <f t="shared" si="46"/>
        <v>1858500</v>
      </c>
      <c r="K141" s="32">
        <f t="shared" si="47"/>
        <v>2467500</v>
      </c>
    </row>
    <row r="142" spans="1:11" ht="17.25" thickBot="1" x14ac:dyDescent="0.35">
      <c r="A142" s="47">
        <v>8</v>
      </c>
      <c r="B142" s="36"/>
      <c r="C142" s="36">
        <f t="shared" si="48"/>
        <v>3600000</v>
      </c>
      <c r="D142" s="36">
        <f t="shared" si="40"/>
        <v>525000</v>
      </c>
      <c r="E142" s="36">
        <f t="shared" si="41"/>
        <v>0</v>
      </c>
      <c r="F142" s="36">
        <f t="shared" si="42"/>
        <v>3075000</v>
      </c>
      <c r="G142" s="36">
        <f t="shared" si="43"/>
        <v>922500</v>
      </c>
      <c r="H142" s="36">
        <f t="shared" si="44"/>
        <v>2152500</v>
      </c>
      <c r="I142" s="36">
        <f>-E141*$I$132</f>
        <v>-42000</v>
      </c>
      <c r="J142" s="36">
        <f t="shared" si="46"/>
        <v>2110500</v>
      </c>
      <c r="K142" s="36">
        <f t="shared" si="47"/>
        <v>2677500</v>
      </c>
    </row>
    <row r="143" spans="1:11" x14ac:dyDescent="0.3">
      <c r="A143" s="13"/>
      <c r="B143" s="30"/>
      <c r="C143" s="30"/>
      <c r="D143" s="30"/>
      <c r="E143" s="30"/>
      <c r="F143" s="30"/>
      <c r="G143" s="30"/>
      <c r="H143" s="30"/>
      <c r="I143" s="54" t="s">
        <v>46</v>
      </c>
      <c r="J143" s="53">
        <f>NPV(I132,J135:J142)</f>
        <v>6478347.1772857159</v>
      </c>
      <c r="K143" s="53">
        <f>NPV(8%,K135:K142)+K134</f>
        <v>6478347.1772857159</v>
      </c>
    </row>
    <row r="144" spans="1:11" ht="17.25" thickBot="1" x14ac:dyDescent="0.35">
      <c r="A144" s="17"/>
      <c r="B144" s="35"/>
      <c r="C144" s="35"/>
      <c r="D144" s="35"/>
      <c r="E144" s="35"/>
      <c r="F144" s="35"/>
      <c r="G144" s="35"/>
      <c r="H144" s="35"/>
      <c r="I144" s="47" t="s">
        <v>47</v>
      </c>
      <c r="J144" s="20">
        <f>-PMT(8%,8,J143)</f>
        <v>1127328.0330860808</v>
      </c>
      <c r="K144" s="20">
        <f>-PMT(8%,8,K143)</f>
        <v>1127328.0330860808</v>
      </c>
    </row>
    <row r="145" spans="1:11" ht="17.25" thickBot="1" x14ac:dyDescent="0.35">
      <c r="A145" s="13"/>
      <c r="B145" s="30"/>
      <c r="C145" s="30"/>
      <c r="D145" s="30"/>
      <c r="E145" s="30"/>
      <c r="F145" s="30"/>
      <c r="G145" s="30"/>
      <c r="H145" s="30"/>
      <c r="I145" s="30"/>
      <c r="J145" s="30"/>
      <c r="K145" s="32"/>
    </row>
    <row r="146" spans="1:11" ht="17.25" thickBot="1" x14ac:dyDescent="0.35">
      <c r="A146" s="12" t="s">
        <v>49</v>
      </c>
      <c r="B146" s="28"/>
      <c r="C146" s="28"/>
      <c r="D146" s="28"/>
      <c r="E146" s="28"/>
      <c r="F146" s="28"/>
      <c r="G146" s="50">
        <v>0.3</v>
      </c>
      <c r="H146" s="28"/>
      <c r="I146" s="50">
        <v>0.08</v>
      </c>
      <c r="J146" s="28"/>
      <c r="K146" s="29"/>
    </row>
    <row r="147" spans="1:11" ht="17.25" thickBot="1" x14ac:dyDescent="0.35">
      <c r="A147" s="45" t="s">
        <v>1</v>
      </c>
      <c r="B147" s="44" t="s">
        <v>32</v>
      </c>
      <c r="C147" s="44" t="s">
        <v>42</v>
      </c>
      <c r="D147" s="44" t="s">
        <v>3</v>
      </c>
      <c r="E147" s="44" t="s">
        <v>16</v>
      </c>
      <c r="F147" s="44" t="s">
        <v>4</v>
      </c>
      <c r="G147" s="44" t="s">
        <v>8</v>
      </c>
      <c r="H147" s="44" t="s">
        <v>43</v>
      </c>
      <c r="I147" s="44" t="s">
        <v>44</v>
      </c>
      <c r="J147" s="44" t="s">
        <v>45</v>
      </c>
      <c r="K147" s="44" t="s">
        <v>6</v>
      </c>
    </row>
    <row r="148" spans="1:11" x14ac:dyDescent="0.3">
      <c r="A148" s="46">
        <v>0</v>
      </c>
      <c r="B148" s="32">
        <v>-3600000</v>
      </c>
      <c r="C148" s="32"/>
      <c r="D148" s="32"/>
      <c r="E148" s="32">
        <f>-B148</f>
        <v>3600000</v>
      </c>
      <c r="F148" s="32"/>
      <c r="G148" s="32"/>
      <c r="H148" s="32"/>
      <c r="I148" s="32"/>
      <c r="J148" s="32"/>
      <c r="K148" s="32">
        <f>B148</f>
        <v>-3600000</v>
      </c>
    </row>
    <row r="149" spans="1:11" x14ac:dyDescent="0.3">
      <c r="A149" s="46">
        <v>1</v>
      </c>
      <c r="B149" s="32"/>
      <c r="C149" s="32">
        <v>1500000</v>
      </c>
      <c r="D149" s="32">
        <f>-$B$148/5</f>
        <v>720000</v>
      </c>
      <c r="E149" s="32">
        <f>E148-D149</f>
        <v>2880000</v>
      </c>
      <c r="F149" s="32">
        <f>C149-D149</f>
        <v>780000</v>
      </c>
      <c r="G149" s="32">
        <f>F149*$G$146</f>
        <v>234000</v>
      </c>
      <c r="H149" s="32">
        <f>F149-G149</f>
        <v>546000</v>
      </c>
      <c r="I149" s="32">
        <f>E148*$I$146</f>
        <v>288000</v>
      </c>
      <c r="J149" s="32">
        <f>H149-I149</f>
        <v>258000</v>
      </c>
      <c r="K149" s="32">
        <f>C149-G149</f>
        <v>1266000</v>
      </c>
    </row>
    <row r="150" spans="1:11" x14ac:dyDescent="0.3">
      <c r="A150" s="46">
        <v>2</v>
      </c>
      <c r="B150" s="32"/>
      <c r="C150" s="32">
        <f>C149+300000</f>
        <v>1800000</v>
      </c>
      <c r="D150" s="32">
        <f t="shared" ref="D150:D153" si="49">-$B$148/5</f>
        <v>720000</v>
      </c>
      <c r="E150" s="32">
        <f t="shared" ref="E150:E153" si="50">E149-D150</f>
        <v>2160000</v>
      </c>
      <c r="F150" s="32">
        <f t="shared" ref="F150:F155" si="51">C150-D150</f>
        <v>1080000</v>
      </c>
      <c r="G150" s="32">
        <f t="shared" ref="G150:G156" si="52">F150*$G$146</f>
        <v>324000</v>
      </c>
      <c r="H150" s="32">
        <f t="shared" ref="H150:H156" si="53">F150-G150</f>
        <v>756000</v>
      </c>
      <c r="I150" s="32">
        <f t="shared" ref="I150:I156" si="54">E149*$I$146</f>
        <v>230400</v>
      </c>
      <c r="J150" s="32">
        <f t="shared" ref="J150:J156" si="55">H150-I150</f>
        <v>525600</v>
      </c>
      <c r="K150" s="32">
        <f t="shared" ref="K150:K156" si="56">C150-G150</f>
        <v>1476000</v>
      </c>
    </row>
    <row r="151" spans="1:11" x14ac:dyDescent="0.3">
      <c r="A151" s="46">
        <v>3</v>
      </c>
      <c r="B151" s="32"/>
      <c r="C151" s="32">
        <f t="shared" ref="C151:C156" si="57">C150+300000</f>
        <v>2100000</v>
      </c>
      <c r="D151" s="32">
        <f t="shared" si="49"/>
        <v>720000</v>
      </c>
      <c r="E151" s="32">
        <f t="shared" si="50"/>
        <v>1440000</v>
      </c>
      <c r="F151" s="32">
        <f t="shared" si="51"/>
        <v>1380000</v>
      </c>
      <c r="G151" s="32">
        <f t="shared" si="52"/>
        <v>414000</v>
      </c>
      <c r="H151" s="32">
        <f t="shared" si="53"/>
        <v>966000</v>
      </c>
      <c r="I151" s="32">
        <f t="shared" si="54"/>
        <v>172800</v>
      </c>
      <c r="J151" s="32">
        <f t="shared" si="55"/>
        <v>793200</v>
      </c>
      <c r="K151" s="32">
        <f t="shared" si="56"/>
        <v>1686000</v>
      </c>
    </row>
    <row r="152" spans="1:11" x14ac:dyDescent="0.3">
      <c r="A152" s="46">
        <v>4</v>
      </c>
      <c r="B152" s="32"/>
      <c r="C152" s="32">
        <f t="shared" si="57"/>
        <v>2400000</v>
      </c>
      <c r="D152" s="32">
        <f t="shared" si="49"/>
        <v>720000</v>
      </c>
      <c r="E152" s="32">
        <f t="shared" si="50"/>
        <v>720000</v>
      </c>
      <c r="F152" s="32">
        <f t="shared" si="51"/>
        <v>1680000</v>
      </c>
      <c r="G152" s="32">
        <f t="shared" si="52"/>
        <v>504000</v>
      </c>
      <c r="H152" s="32">
        <f t="shared" si="53"/>
        <v>1176000</v>
      </c>
      <c r="I152" s="32">
        <f t="shared" si="54"/>
        <v>115200</v>
      </c>
      <c r="J152" s="32">
        <f t="shared" si="55"/>
        <v>1060800</v>
      </c>
      <c r="K152" s="32">
        <f t="shared" si="56"/>
        <v>1896000</v>
      </c>
    </row>
    <row r="153" spans="1:11" x14ac:dyDescent="0.3">
      <c r="A153" s="46">
        <v>5</v>
      </c>
      <c r="B153" s="32"/>
      <c r="C153" s="32">
        <f t="shared" si="57"/>
        <v>2700000</v>
      </c>
      <c r="D153" s="32">
        <f t="shared" si="49"/>
        <v>720000</v>
      </c>
      <c r="E153" s="32">
        <f t="shared" si="50"/>
        <v>0</v>
      </c>
      <c r="F153" s="32">
        <f t="shared" si="51"/>
        <v>1980000</v>
      </c>
      <c r="G153" s="32">
        <f t="shared" si="52"/>
        <v>594000</v>
      </c>
      <c r="H153" s="32">
        <f t="shared" si="53"/>
        <v>1386000</v>
      </c>
      <c r="I153" s="32">
        <f t="shared" si="54"/>
        <v>57600</v>
      </c>
      <c r="J153" s="32">
        <f t="shared" si="55"/>
        <v>1328400</v>
      </c>
      <c r="K153" s="32">
        <f t="shared" si="56"/>
        <v>2106000</v>
      </c>
    </row>
    <row r="154" spans="1:11" x14ac:dyDescent="0.3">
      <c r="A154" s="46">
        <v>6</v>
      </c>
      <c r="B154" s="32"/>
      <c r="C154" s="32">
        <f t="shared" si="57"/>
        <v>3000000</v>
      </c>
      <c r="D154" s="32"/>
      <c r="E154" s="32"/>
      <c r="F154" s="32">
        <f t="shared" si="51"/>
        <v>3000000</v>
      </c>
      <c r="G154" s="32">
        <f t="shared" si="52"/>
        <v>900000</v>
      </c>
      <c r="H154" s="32">
        <f t="shared" si="53"/>
        <v>2100000</v>
      </c>
      <c r="I154" s="32">
        <f t="shared" si="54"/>
        <v>0</v>
      </c>
      <c r="J154" s="32">
        <f t="shared" si="55"/>
        <v>2100000</v>
      </c>
      <c r="K154" s="32">
        <f t="shared" si="56"/>
        <v>2100000</v>
      </c>
    </row>
    <row r="155" spans="1:11" x14ac:dyDescent="0.3">
      <c r="A155" s="46">
        <v>7</v>
      </c>
      <c r="B155" s="32"/>
      <c r="C155" s="32">
        <f t="shared" si="57"/>
        <v>3300000</v>
      </c>
      <c r="D155" s="32"/>
      <c r="E155" s="32"/>
      <c r="F155" s="32">
        <f t="shared" si="51"/>
        <v>3300000</v>
      </c>
      <c r="G155" s="32">
        <f t="shared" si="52"/>
        <v>990000</v>
      </c>
      <c r="H155" s="32">
        <f t="shared" si="53"/>
        <v>2310000</v>
      </c>
      <c r="I155" s="32">
        <f t="shared" si="54"/>
        <v>0</v>
      </c>
      <c r="J155" s="32">
        <f t="shared" si="55"/>
        <v>2310000</v>
      </c>
      <c r="K155" s="32">
        <f t="shared" si="56"/>
        <v>2310000</v>
      </c>
    </row>
    <row r="156" spans="1:11" ht="17.25" thickBot="1" x14ac:dyDescent="0.35">
      <c r="A156" s="47">
        <v>8</v>
      </c>
      <c r="B156" s="36"/>
      <c r="C156" s="36">
        <f t="shared" si="57"/>
        <v>3600000</v>
      </c>
      <c r="D156" s="36"/>
      <c r="E156" s="36"/>
      <c r="F156" s="36">
        <f>C156-D156</f>
        <v>3600000</v>
      </c>
      <c r="G156" s="36">
        <f t="shared" si="52"/>
        <v>1080000</v>
      </c>
      <c r="H156" s="36">
        <f t="shared" si="53"/>
        <v>2520000</v>
      </c>
      <c r="I156" s="36">
        <f t="shared" si="54"/>
        <v>0</v>
      </c>
      <c r="J156" s="36">
        <f t="shared" si="55"/>
        <v>2520000</v>
      </c>
      <c r="K156" s="36">
        <f t="shared" si="56"/>
        <v>2520000</v>
      </c>
    </row>
    <row r="157" spans="1:11" x14ac:dyDescent="0.3">
      <c r="A157" s="13"/>
      <c r="B157" s="30"/>
      <c r="C157" s="30"/>
      <c r="D157" s="30"/>
      <c r="E157" s="30"/>
      <c r="F157" s="30"/>
      <c r="G157" s="30"/>
      <c r="H157" s="30"/>
      <c r="I157" s="54" t="s">
        <v>46</v>
      </c>
      <c r="J157" s="53">
        <f>NPV(8%,J149:J156)</f>
        <v>7035676.9116578465</v>
      </c>
      <c r="K157" s="53">
        <f>NPV(8%,K149:K156)+K148</f>
        <v>7035676.9116578475</v>
      </c>
    </row>
    <row r="158" spans="1:11" ht="17.25" thickBot="1" x14ac:dyDescent="0.35">
      <c r="A158" s="17"/>
      <c r="B158" s="35"/>
      <c r="C158" s="35"/>
      <c r="D158" s="35"/>
      <c r="E158" s="35"/>
      <c r="F158" s="35"/>
      <c r="G158" s="35"/>
      <c r="H158" s="35"/>
      <c r="I158" s="47" t="s">
        <v>47</v>
      </c>
      <c r="J158" s="20">
        <f>-PMT(8%,8,J157)</f>
        <v>1224311.6333835509</v>
      </c>
      <c r="K158" s="20">
        <f>-PMT(8%,8,K157)</f>
        <v>1224311.6333835511</v>
      </c>
    </row>
    <row r="159" spans="1:11" x14ac:dyDescent="0.3">
      <c r="A159" s="13"/>
      <c r="B159" s="30"/>
      <c r="C159" s="30"/>
      <c r="D159" s="30"/>
      <c r="E159" s="30"/>
      <c r="F159" s="30"/>
      <c r="G159" s="30"/>
      <c r="H159" s="30"/>
      <c r="I159" s="30"/>
      <c r="J159" s="30"/>
      <c r="K159" s="32"/>
    </row>
    <row r="160" spans="1:11" ht="17.25" thickBot="1" x14ac:dyDescent="0.35">
      <c r="A160" s="17" t="s">
        <v>50</v>
      </c>
      <c r="B160" s="35"/>
      <c r="C160" s="35"/>
      <c r="D160" s="35"/>
      <c r="E160" s="35"/>
      <c r="F160" s="35"/>
      <c r="G160" s="35"/>
      <c r="H160" s="35"/>
      <c r="I160" s="35"/>
      <c r="J160" s="35"/>
      <c r="K160" s="36"/>
    </row>
    <row r="161" spans="1:13" ht="17.25" thickBot="1" x14ac:dyDescent="0.35"/>
    <row r="162" spans="1:13" ht="17.25" thickBot="1" x14ac:dyDescent="0.35">
      <c r="A162" s="56">
        <v>17.670000000000002</v>
      </c>
      <c r="B162" s="42"/>
      <c r="C162" s="42"/>
      <c r="D162" s="42"/>
      <c r="E162" s="42"/>
      <c r="F162" s="42"/>
      <c r="G162" s="42"/>
      <c r="H162" s="42"/>
      <c r="I162" s="43">
        <v>0.35</v>
      </c>
      <c r="J162" s="42"/>
      <c r="K162" s="43">
        <v>0.12</v>
      </c>
      <c r="L162" s="42"/>
      <c r="M162" s="44"/>
    </row>
    <row r="163" spans="1:13" x14ac:dyDescent="0.3">
      <c r="A163" s="54" t="s">
        <v>1</v>
      </c>
      <c r="B163" s="29" t="s">
        <v>51</v>
      </c>
      <c r="C163" s="29" t="s">
        <v>36</v>
      </c>
      <c r="D163" s="29" t="s">
        <v>32</v>
      </c>
      <c r="E163" s="29" t="s">
        <v>52</v>
      </c>
      <c r="F163" s="29" t="s">
        <v>3</v>
      </c>
      <c r="G163" s="29" t="s">
        <v>16</v>
      </c>
      <c r="H163" s="29" t="s">
        <v>4</v>
      </c>
      <c r="I163" s="29" t="s">
        <v>8</v>
      </c>
      <c r="J163" s="29" t="s">
        <v>43</v>
      </c>
      <c r="K163" s="29" t="s">
        <v>53</v>
      </c>
      <c r="L163" s="29" t="s">
        <v>45</v>
      </c>
      <c r="M163" s="29" t="s">
        <v>6</v>
      </c>
    </row>
    <row r="164" spans="1:13" x14ac:dyDescent="0.3">
      <c r="A164" s="46">
        <v>0</v>
      </c>
      <c r="B164" s="32"/>
      <c r="C164" s="32"/>
      <c r="D164" s="32">
        <v>-3000000</v>
      </c>
      <c r="E164" s="32"/>
      <c r="F164" s="32"/>
      <c r="G164" s="32">
        <f>-D164</f>
        <v>3000000</v>
      </c>
      <c r="H164" s="32"/>
      <c r="I164" s="32"/>
      <c r="J164" s="32"/>
      <c r="K164" s="32"/>
      <c r="L164" s="32"/>
      <c r="M164" s="32">
        <f>D164</f>
        <v>-3000000</v>
      </c>
    </row>
    <row r="165" spans="1:13" x14ac:dyDescent="0.3">
      <c r="A165" s="46">
        <v>1</v>
      </c>
      <c r="B165" s="32">
        <f t="shared" ref="B165:B170" si="58">2800000-100000*A165</f>
        <v>2700000</v>
      </c>
      <c r="C165" s="32">
        <f>-(950000+50000*A165)</f>
        <v>-1000000</v>
      </c>
      <c r="D165" s="32"/>
      <c r="E165" s="32">
        <v>0.1</v>
      </c>
      <c r="F165" s="32">
        <f>$D$164*E165</f>
        <v>-300000</v>
      </c>
      <c r="G165" s="32">
        <f>G164+F165</f>
        <v>2700000</v>
      </c>
      <c r="H165" s="32">
        <f>B165+C165+F165</f>
        <v>1400000</v>
      </c>
      <c r="I165" s="32">
        <f>H165*$I$162</f>
        <v>489999.99999999994</v>
      </c>
      <c r="J165" s="32">
        <f>H165-I165</f>
        <v>910000</v>
      </c>
      <c r="K165" s="32">
        <f>G164*$K$162</f>
        <v>360000</v>
      </c>
      <c r="L165" s="32">
        <f>J165-K165</f>
        <v>550000</v>
      </c>
      <c r="M165" s="32">
        <f>B165+C165-I165</f>
        <v>1210000</v>
      </c>
    </row>
    <row r="166" spans="1:13" x14ac:dyDescent="0.3">
      <c r="A166" s="46">
        <v>2</v>
      </c>
      <c r="B166" s="32">
        <f t="shared" si="58"/>
        <v>2600000</v>
      </c>
      <c r="C166" s="32">
        <f t="shared" ref="C166:C170" si="59">-(950000+50000*A166)</f>
        <v>-1050000</v>
      </c>
      <c r="D166" s="32"/>
      <c r="E166" s="32">
        <v>0.2</v>
      </c>
      <c r="F166" s="32">
        <f t="shared" ref="F166:F170" si="60">$D$164*E166</f>
        <v>-600000</v>
      </c>
      <c r="G166" s="32">
        <f t="shared" ref="G166:G170" si="61">G165+F166</f>
        <v>2100000</v>
      </c>
      <c r="H166" s="32">
        <f t="shared" ref="H166:H170" si="62">B166+C166+F166</f>
        <v>950000</v>
      </c>
      <c r="I166" s="32">
        <f t="shared" ref="I166:I170" si="63">H166*$I$162</f>
        <v>332500</v>
      </c>
      <c r="J166" s="32">
        <f t="shared" ref="J166:J170" si="64">H166-I166</f>
        <v>617500</v>
      </c>
      <c r="K166" s="32">
        <f t="shared" ref="K166:K170" si="65">G165*$K$162</f>
        <v>324000</v>
      </c>
      <c r="L166" s="32">
        <f t="shared" ref="L166:L170" si="66">J166-K166</f>
        <v>293500</v>
      </c>
      <c r="M166" s="32">
        <f t="shared" ref="M166:M170" si="67">B166+C166-I166</f>
        <v>1217500</v>
      </c>
    </row>
    <row r="167" spans="1:13" x14ac:dyDescent="0.3">
      <c r="A167" s="46">
        <v>3</v>
      </c>
      <c r="B167" s="32">
        <f t="shared" si="58"/>
        <v>2500000</v>
      </c>
      <c r="C167" s="32">
        <f t="shared" si="59"/>
        <v>-1100000</v>
      </c>
      <c r="D167" s="32"/>
      <c r="E167" s="32">
        <v>0.2</v>
      </c>
      <c r="F167" s="32">
        <f t="shared" si="60"/>
        <v>-600000</v>
      </c>
      <c r="G167" s="32">
        <f t="shared" si="61"/>
        <v>1500000</v>
      </c>
      <c r="H167" s="32">
        <f t="shared" si="62"/>
        <v>800000</v>
      </c>
      <c r="I167" s="32">
        <f t="shared" si="63"/>
        <v>280000</v>
      </c>
      <c r="J167" s="32">
        <f t="shared" si="64"/>
        <v>520000</v>
      </c>
      <c r="K167" s="32">
        <f t="shared" si="65"/>
        <v>252000</v>
      </c>
      <c r="L167" s="32">
        <f t="shared" si="66"/>
        <v>268000</v>
      </c>
      <c r="M167" s="32">
        <f t="shared" si="67"/>
        <v>1120000</v>
      </c>
    </row>
    <row r="168" spans="1:13" x14ac:dyDescent="0.3">
      <c r="A168" s="46">
        <v>4</v>
      </c>
      <c r="B168" s="32">
        <f t="shared" si="58"/>
        <v>2400000</v>
      </c>
      <c r="C168" s="32">
        <f t="shared" si="59"/>
        <v>-1150000</v>
      </c>
      <c r="D168" s="32"/>
      <c r="E168" s="32">
        <v>0.2</v>
      </c>
      <c r="F168" s="32">
        <f t="shared" si="60"/>
        <v>-600000</v>
      </c>
      <c r="G168" s="32">
        <f t="shared" si="61"/>
        <v>900000</v>
      </c>
      <c r="H168" s="32">
        <f t="shared" si="62"/>
        <v>650000</v>
      </c>
      <c r="I168" s="32">
        <f t="shared" si="63"/>
        <v>227500</v>
      </c>
      <c r="J168" s="32">
        <f t="shared" si="64"/>
        <v>422500</v>
      </c>
      <c r="K168" s="32">
        <f t="shared" si="65"/>
        <v>180000</v>
      </c>
      <c r="L168" s="32">
        <f t="shared" si="66"/>
        <v>242500</v>
      </c>
      <c r="M168" s="32">
        <f t="shared" si="67"/>
        <v>1022500</v>
      </c>
    </row>
    <row r="169" spans="1:13" x14ac:dyDescent="0.3">
      <c r="A169" s="46">
        <v>5</v>
      </c>
      <c r="B169" s="32">
        <f t="shared" si="58"/>
        <v>2300000</v>
      </c>
      <c r="C169" s="32">
        <f t="shared" si="59"/>
        <v>-1200000</v>
      </c>
      <c r="D169" s="32"/>
      <c r="E169" s="32">
        <v>0.2</v>
      </c>
      <c r="F169" s="32">
        <f t="shared" si="60"/>
        <v>-600000</v>
      </c>
      <c r="G169" s="32">
        <f t="shared" si="61"/>
        <v>300000</v>
      </c>
      <c r="H169" s="32">
        <f t="shared" si="62"/>
        <v>500000</v>
      </c>
      <c r="I169" s="32">
        <f t="shared" si="63"/>
        <v>175000</v>
      </c>
      <c r="J169" s="32">
        <f t="shared" si="64"/>
        <v>325000</v>
      </c>
      <c r="K169" s="32">
        <f t="shared" si="65"/>
        <v>108000</v>
      </c>
      <c r="L169" s="32">
        <f t="shared" si="66"/>
        <v>217000</v>
      </c>
      <c r="M169" s="32">
        <f t="shared" si="67"/>
        <v>925000</v>
      </c>
    </row>
    <row r="170" spans="1:13" ht="17.25" thickBot="1" x14ac:dyDescent="0.35">
      <c r="A170" s="47">
        <v>6</v>
      </c>
      <c r="B170" s="36">
        <f t="shared" si="58"/>
        <v>2200000</v>
      </c>
      <c r="C170" s="36">
        <f t="shared" si="59"/>
        <v>-1250000</v>
      </c>
      <c r="D170" s="36"/>
      <c r="E170" s="36">
        <v>0.1</v>
      </c>
      <c r="F170" s="36">
        <f t="shared" si="60"/>
        <v>-300000</v>
      </c>
      <c r="G170" s="36">
        <f t="shared" si="61"/>
        <v>0</v>
      </c>
      <c r="H170" s="36">
        <f t="shared" si="62"/>
        <v>650000</v>
      </c>
      <c r="I170" s="36">
        <f t="shared" si="63"/>
        <v>227500</v>
      </c>
      <c r="J170" s="36">
        <f t="shared" si="64"/>
        <v>422500</v>
      </c>
      <c r="K170" s="36">
        <f t="shared" si="65"/>
        <v>36000</v>
      </c>
      <c r="L170" s="36">
        <f t="shared" si="66"/>
        <v>386500</v>
      </c>
      <c r="M170" s="36">
        <f t="shared" si="67"/>
        <v>722500</v>
      </c>
    </row>
    <row r="171" spans="1:13" x14ac:dyDescent="0.3">
      <c r="A171" s="13"/>
      <c r="B171" s="30"/>
      <c r="C171" s="30"/>
      <c r="D171" s="30"/>
      <c r="E171" s="30"/>
      <c r="F171" s="30"/>
      <c r="G171" s="30"/>
      <c r="H171" s="30"/>
      <c r="I171" s="30"/>
      <c r="J171" s="30"/>
      <c r="K171" s="13" t="s">
        <v>54</v>
      </c>
      <c r="L171" s="16">
        <f>NPV(12%,L165:L170)</f>
        <v>1388862.6280857888</v>
      </c>
      <c r="M171" s="19">
        <f>NPV(12%,M165:M170)+M164</f>
        <v>1388862.6280857883</v>
      </c>
    </row>
    <row r="172" spans="1:13" ht="17.25" thickBot="1" x14ac:dyDescent="0.35">
      <c r="A172" s="17"/>
      <c r="B172" s="35"/>
      <c r="C172" s="35"/>
      <c r="D172" s="35"/>
      <c r="E172" s="35"/>
      <c r="F172" s="35"/>
      <c r="G172" s="35"/>
      <c r="H172" s="35"/>
      <c r="I172" s="35"/>
      <c r="J172" s="35"/>
      <c r="K172" s="17" t="s">
        <v>55</v>
      </c>
      <c r="L172" s="18">
        <f>-PMT(12%,6,$L$171)</f>
        <v>337807.11050928471</v>
      </c>
      <c r="M172" s="20">
        <f>-PMT(12%,6,$M$171)</f>
        <v>337807.1105092846</v>
      </c>
    </row>
    <row r="173" spans="1:13" ht="17.25" thickBot="1" x14ac:dyDescent="0.35">
      <c r="A173" s="13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2"/>
    </row>
    <row r="174" spans="1:13" ht="17.25" thickBot="1" x14ac:dyDescent="0.35">
      <c r="A174" s="13"/>
      <c r="B174" s="30"/>
      <c r="C174" s="30"/>
      <c r="D174" s="30"/>
      <c r="E174" s="30"/>
      <c r="F174" s="30"/>
      <c r="G174" s="30"/>
      <c r="H174" s="30"/>
      <c r="I174" s="30"/>
      <c r="J174" s="30"/>
      <c r="K174" s="54" t="s">
        <v>57</v>
      </c>
      <c r="L174" s="59">
        <v>0.18285472908210099</v>
      </c>
      <c r="M174" s="60"/>
    </row>
    <row r="175" spans="1:13" ht="17.25" thickBot="1" x14ac:dyDescent="0.35">
      <c r="A175" s="17"/>
      <c r="B175" s="55"/>
      <c r="C175" s="35"/>
      <c r="D175" s="35"/>
      <c r="E175" s="35"/>
      <c r="F175" s="35"/>
      <c r="G175" s="35"/>
      <c r="H175" s="35"/>
      <c r="I175" s="35"/>
      <c r="J175" s="35"/>
      <c r="K175" s="45" t="s">
        <v>56</v>
      </c>
      <c r="L175" s="25">
        <f>-PMT(L174,6,$L$171)</f>
        <v>400000.00000254833</v>
      </c>
      <c r="M175" s="26">
        <f>-PMT(L174,6,$M$171)</f>
        <v>400000.00000254816</v>
      </c>
    </row>
  </sheetData>
  <mergeCells count="3">
    <mergeCell ref="A75:C75"/>
    <mergeCell ref="A42:C42"/>
    <mergeCell ref="L174:M17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ITISYIJY</dc:creator>
  <cp:lastModifiedBy>ITISYIJY</cp:lastModifiedBy>
  <dcterms:created xsi:type="dcterms:W3CDTF">2022-05-19T13:27:03Z</dcterms:created>
  <dcterms:modified xsi:type="dcterms:W3CDTF">2022-06-01T05:30:42Z</dcterms:modified>
</cp:coreProperties>
</file>