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20\내 드라이브\2022 1학기\Engineering Economy\Assignments\"/>
    </mc:Choice>
  </mc:AlternateContent>
  <xr:revisionPtr revIDLastSave="0" documentId="13_ncr:1_{93218A46-6DF0-4324-B344-55C0B21180BB}" xr6:coauthVersionLast="47" xr6:coauthVersionMax="47" xr10:uidLastSave="{00000000-0000-0000-0000-000000000000}"/>
  <bookViews>
    <workbookView xWindow="-120" yWindow="-120" windowWidth="29040" windowHeight="15720" xr2:uid="{BEF6381D-A30E-4ADF-B940-75F708369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4" i="1" l="1"/>
  <c r="E119" i="1"/>
  <c r="G119" i="1" s="1"/>
  <c r="C130" i="1"/>
  <c r="E130" i="1"/>
  <c r="B126" i="1" l="1"/>
  <c r="D130" i="1" s="1"/>
  <c r="F130" i="1" s="1"/>
  <c r="F119" i="1"/>
  <c r="D119" i="1"/>
  <c r="B120" i="1"/>
  <c r="N104" i="1"/>
  <c r="O104" i="1" s="1"/>
  <c r="P104" i="1" l="1"/>
  <c r="Q104" i="1" s="1"/>
  <c r="E97" i="1"/>
  <c r="G95" i="1"/>
  <c r="G97" i="1" s="1"/>
  <c r="H95" i="1"/>
  <c r="H97" i="1" s="1"/>
  <c r="I95" i="1"/>
  <c r="I97" i="1" s="1"/>
  <c r="J95" i="1"/>
  <c r="J97" i="1" s="1"/>
  <c r="F95" i="1"/>
  <c r="F97" i="1" s="1"/>
  <c r="F88" i="1"/>
  <c r="G88" i="1"/>
  <c r="H88" i="1"/>
  <c r="I88" i="1"/>
  <c r="J88" i="1"/>
  <c r="E88" i="1"/>
  <c r="E75" i="1"/>
  <c r="E76" i="1" s="1"/>
  <c r="C47" i="1"/>
  <c r="D47" i="1" s="1"/>
  <c r="C65" i="1"/>
  <c r="D65" i="1" s="1"/>
  <c r="C63" i="1"/>
  <c r="D63" i="1" s="1"/>
  <c r="C61" i="1"/>
  <c r="D61" i="1" s="1"/>
  <c r="C53" i="1"/>
  <c r="D53" i="1" s="1"/>
  <c r="C51" i="1"/>
  <c r="D51" i="1" s="1"/>
  <c r="C49" i="1"/>
  <c r="D49" i="1" s="1"/>
  <c r="C37" i="1"/>
  <c r="C38" i="1" s="1"/>
  <c r="D37" i="1"/>
  <c r="D36" i="1"/>
  <c r="C36" i="1"/>
  <c r="B36" i="1"/>
  <c r="B38" i="1" s="1"/>
  <c r="E99" i="1" l="1"/>
  <c r="E89" i="1"/>
  <c r="C67" i="1"/>
  <c r="C68" i="1" s="1"/>
  <c r="B107" i="1"/>
  <c r="D38" i="1"/>
  <c r="C55" i="1"/>
  <c r="C56" i="1" s="1"/>
  <c r="H13" i="1"/>
  <c r="B21" i="1" s="1"/>
  <c r="E20" i="1"/>
  <c r="B20" i="1"/>
  <c r="B18" i="1"/>
  <c r="E18" i="1"/>
  <c r="B5" i="1"/>
  <c r="B4" i="1"/>
  <c r="B6" i="1" s="1"/>
  <c r="B10" i="1" s="1"/>
  <c r="B22" i="1" l="1"/>
  <c r="B23" i="1" s="1"/>
  <c r="E21" i="1"/>
  <c r="E22" i="1"/>
  <c r="E23" i="1" s="1"/>
</calcChain>
</file>

<file path=xl/sharedStrings.xml><?xml version="1.0" encoding="utf-8"?>
<sst xmlns="http://schemas.openxmlformats.org/spreadsheetml/2006/main" count="161" uniqueCount="95">
  <si>
    <t>Year</t>
    <phoneticPr fontId="2" type="noConversion"/>
  </si>
  <si>
    <t>RoR</t>
    <phoneticPr fontId="2" type="noConversion"/>
  </si>
  <si>
    <t>A by P</t>
    <phoneticPr fontId="2" type="noConversion"/>
  </si>
  <si>
    <t>A by Salvage</t>
    <phoneticPr fontId="2" type="noConversion"/>
  </si>
  <si>
    <t>AW</t>
    <phoneticPr fontId="2" type="noConversion"/>
  </si>
  <si>
    <t>AOC</t>
    <phoneticPr fontId="2" type="noConversion"/>
  </si>
  <si>
    <t>AW with AOC</t>
    <phoneticPr fontId="2" type="noConversion"/>
  </si>
  <si>
    <t>(a)</t>
    <phoneticPr fontId="2" type="noConversion"/>
  </si>
  <si>
    <t>(b)</t>
    <phoneticPr fontId="2" type="noConversion"/>
  </si>
  <si>
    <t>Restaurant</t>
    <phoneticPr fontId="2" type="noConversion"/>
  </si>
  <si>
    <t>first cost</t>
    <phoneticPr fontId="2" type="noConversion"/>
  </si>
  <si>
    <t>Foodtruck</t>
    <phoneticPr fontId="2" type="noConversion"/>
  </si>
  <si>
    <t>other fee/month</t>
    <phoneticPr fontId="2" type="noConversion"/>
  </si>
  <si>
    <t>rent fee/month</t>
    <phoneticPr fontId="2" type="noConversion"/>
  </si>
  <si>
    <t>income/month</t>
    <phoneticPr fontId="2" type="noConversion"/>
  </si>
  <si>
    <t>fee/month</t>
    <phoneticPr fontId="2" type="noConversion"/>
  </si>
  <si>
    <t>salvage</t>
    <phoneticPr fontId="2" type="noConversion"/>
  </si>
  <si>
    <t>salvage year 5</t>
    <phoneticPr fontId="2" type="noConversion"/>
  </si>
  <si>
    <t>i</t>
    <phoneticPr fontId="2" type="noConversion"/>
  </si>
  <si>
    <t>net monthly</t>
    <phoneticPr fontId="2" type="noConversion"/>
  </si>
  <si>
    <t>A for first cost</t>
    <phoneticPr fontId="2" type="noConversion"/>
  </si>
  <si>
    <t>A for salvage</t>
    <phoneticPr fontId="2" type="noConversion"/>
  </si>
  <si>
    <t>Answer</t>
    <phoneticPr fontId="2" type="noConversion"/>
  </si>
  <si>
    <t>per year</t>
    <phoneticPr fontId="2" type="noConversion"/>
  </si>
  <si>
    <t>CP</t>
    <phoneticPr fontId="2" type="noConversion"/>
  </si>
  <si>
    <t>month</t>
    <phoneticPr fontId="2" type="noConversion"/>
  </si>
  <si>
    <t>per month</t>
    <phoneticPr fontId="2" type="noConversion"/>
  </si>
  <si>
    <t>years</t>
    <phoneticPr fontId="2" type="noConversion"/>
  </si>
  <si>
    <t>&gt;</t>
    <phoneticPr fontId="2" type="noConversion"/>
  </si>
  <si>
    <t>contract</t>
    <phoneticPr fontId="2" type="noConversion"/>
  </si>
  <si>
    <t>license</t>
    <phoneticPr fontId="2" type="noConversion"/>
  </si>
  <si>
    <t>in-house</t>
    <phoneticPr fontId="2" type="noConversion"/>
  </si>
  <si>
    <t>annual cost</t>
    <phoneticPr fontId="2" type="noConversion"/>
  </si>
  <si>
    <t>annual revenue</t>
    <phoneticPr fontId="2" type="noConversion"/>
  </si>
  <si>
    <t>life</t>
    <phoneticPr fontId="2" type="noConversion"/>
  </si>
  <si>
    <t>∞</t>
  </si>
  <si>
    <t>annual total</t>
    <phoneticPr fontId="2" type="noConversion"/>
  </si>
  <si>
    <t>n</t>
    <phoneticPr fontId="2" type="noConversion"/>
  </si>
  <si>
    <t>year</t>
    <phoneticPr fontId="2" type="noConversion"/>
  </si>
  <si>
    <t>A</t>
    <phoneticPr fontId="2" type="noConversion"/>
  </si>
  <si>
    <t>Development</t>
    <phoneticPr fontId="2" type="noConversion"/>
  </si>
  <si>
    <t>Programming</t>
    <phoneticPr fontId="2" type="noConversion"/>
  </si>
  <si>
    <t>Operation</t>
    <phoneticPr fontId="2" type="noConversion"/>
  </si>
  <si>
    <t>Support</t>
    <phoneticPr fontId="2" type="noConversion"/>
  </si>
  <si>
    <t>PV</t>
    <phoneticPr fontId="2" type="noConversion"/>
  </si>
  <si>
    <t>PV for A</t>
    <phoneticPr fontId="2" type="noConversion"/>
  </si>
  <si>
    <t>B</t>
    <phoneticPr fontId="2" type="noConversion"/>
  </si>
  <si>
    <t>C</t>
    <phoneticPr fontId="2" type="noConversion"/>
  </si>
  <si>
    <t>AW for B</t>
    <phoneticPr fontId="2" type="noConversion"/>
  </si>
  <si>
    <t>PV for B</t>
    <phoneticPr fontId="2" type="noConversion"/>
  </si>
  <si>
    <t>AW for A</t>
    <phoneticPr fontId="2" type="noConversion"/>
  </si>
  <si>
    <t>AW for C</t>
    <phoneticPr fontId="2" type="noConversion"/>
  </si>
  <si>
    <t>annual deposit</t>
    <phoneticPr fontId="2" type="noConversion"/>
  </si>
  <si>
    <t>fv after 30 years</t>
    <phoneticPr fontId="2" type="noConversion"/>
  </si>
  <si>
    <t>fv after 10 years</t>
    <phoneticPr fontId="2" type="noConversion"/>
  </si>
  <si>
    <t>b</t>
    <phoneticPr fontId="2" type="noConversion"/>
  </si>
  <si>
    <t>&gt;= 500000</t>
    <phoneticPr fontId="2" type="noConversion"/>
  </si>
  <si>
    <t>P</t>
    <phoneticPr fontId="2" type="noConversion"/>
  </si>
  <si>
    <t>by goal seek</t>
    <phoneticPr fontId="2" type="noConversion"/>
  </si>
  <si>
    <t>saving</t>
    <phoneticPr fontId="2" type="noConversion"/>
  </si>
  <si>
    <t>system</t>
    <phoneticPr fontId="2" type="noConversion"/>
  </si>
  <si>
    <t>5 years ago</t>
    <phoneticPr fontId="2" type="noConversion"/>
  </si>
  <si>
    <t>now</t>
    <phoneticPr fontId="2" type="noConversion"/>
  </si>
  <si>
    <t>Cash Flow</t>
    <phoneticPr fontId="2" type="noConversion"/>
  </si>
  <si>
    <t>IRR</t>
    <phoneticPr fontId="2" type="noConversion"/>
  </si>
  <si>
    <t>MARR</t>
    <phoneticPr fontId="2" type="noConversion"/>
  </si>
  <si>
    <t>Savings</t>
    <phoneticPr fontId="2" type="noConversion"/>
  </si>
  <si>
    <t>Salvage</t>
    <phoneticPr fontId="2" type="noConversion"/>
  </si>
  <si>
    <t>annual saving</t>
    <phoneticPr fontId="2" type="noConversion"/>
  </si>
  <si>
    <t>=0</t>
    <phoneticPr fontId="2" type="noConversion"/>
  </si>
  <si>
    <t>PW</t>
    <phoneticPr fontId="2" type="noConversion"/>
  </si>
  <si>
    <t>c</t>
    <phoneticPr fontId="2" type="noConversion"/>
  </si>
  <si>
    <t>V</t>
    <phoneticPr fontId="2" type="noConversion"/>
  </si>
  <si>
    <t>P after 3 year</t>
    <phoneticPr fontId="2" type="noConversion"/>
  </si>
  <si>
    <t>RoR per quarter</t>
    <phoneticPr fontId="2" type="noConversion"/>
  </si>
  <si>
    <t>RorR per year (nominal)</t>
    <phoneticPr fontId="2" type="noConversion"/>
  </si>
  <si>
    <t>I = Vb/c</t>
    <phoneticPr fontId="2" type="noConversion"/>
  </si>
  <si>
    <t>I</t>
    <phoneticPr fontId="2" type="noConversion"/>
  </si>
  <si>
    <t>per quarter</t>
    <phoneticPr fontId="2" type="noConversion"/>
  </si>
  <si>
    <t>=3 month, quarter</t>
    <phoneticPr fontId="2" type="noConversion"/>
  </si>
  <si>
    <t>PV for P</t>
    <phoneticPr fontId="2" type="noConversion"/>
  </si>
  <si>
    <t>PV for P after 3 year</t>
    <phoneticPr fontId="2" type="noConversion"/>
  </si>
  <si>
    <t>PV for I</t>
    <phoneticPr fontId="2" type="noConversion"/>
  </si>
  <si>
    <t xml:space="preserve">first cost </t>
    <phoneticPr fontId="2" type="noConversion"/>
  </si>
  <si>
    <t>operating cost</t>
    <phoneticPr fontId="2" type="noConversion"/>
  </si>
  <si>
    <t>revenues</t>
    <phoneticPr fontId="2" type="noConversion"/>
  </si>
  <si>
    <t>net income</t>
    <phoneticPr fontId="2" type="noConversion"/>
  </si>
  <si>
    <t>PV for first cost</t>
    <phoneticPr fontId="2" type="noConversion"/>
  </si>
  <si>
    <t>PV for net income</t>
    <phoneticPr fontId="2" type="noConversion"/>
  </si>
  <si>
    <t>PV for savlage</t>
    <phoneticPr fontId="2" type="noConversion"/>
  </si>
  <si>
    <t>before 24 months</t>
    <phoneticPr fontId="2" type="noConversion"/>
  </si>
  <si>
    <t>for 24 months</t>
    <phoneticPr fontId="2" type="noConversion"/>
  </si>
  <si>
    <t>for 25 months</t>
  </si>
  <si>
    <t>for 26 months</t>
  </si>
  <si>
    <t>(a) 2.6% per 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</si>
</sst>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0.0000"/>
    <numFmt numFmtId="177" formatCode="_-* #,##0.00_-;\-* #,##0.00_-;_-* &quot;-&quot;_-;_-@_-"/>
    <numFmt numFmtId="178" formatCode="0.00_ "/>
    <numFmt numFmtId="179" formatCode="0.0"/>
    <numFmt numFmtId="180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  <xf numFmtId="41" fontId="0" fillId="2" borderId="0" xfId="1" applyFont="1" applyFill="1">
      <alignment vertical="center"/>
    </xf>
    <xf numFmtId="0" fontId="0" fillId="2" borderId="2" xfId="0" applyFill="1" applyBorder="1">
      <alignment vertical="center"/>
    </xf>
    <xf numFmtId="41" fontId="0" fillId="2" borderId="3" xfId="0" applyNumberFormat="1" applyFill="1" applyBorder="1">
      <alignment vertical="center"/>
    </xf>
    <xf numFmtId="0" fontId="3" fillId="2" borderId="0" xfId="0" applyFont="1" applyFill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NumberFormat="1" applyFill="1">
      <alignment vertical="center"/>
    </xf>
    <xf numFmtId="2" fontId="0" fillId="2" borderId="7" xfId="1" applyNumberFormat="1" applyFont="1" applyFill="1" applyBorder="1">
      <alignment vertical="center"/>
    </xf>
    <xf numFmtId="177" fontId="0" fillId="2" borderId="7" xfId="1" applyNumberFormat="1" applyFont="1" applyFill="1" applyBorder="1">
      <alignment vertical="center"/>
    </xf>
    <xf numFmtId="2" fontId="0" fillId="2" borderId="7" xfId="0" applyNumberForma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 applyAlignment="1">
      <alignment horizontal="right" vertical="center"/>
    </xf>
    <xf numFmtId="0" fontId="0" fillId="2" borderId="11" xfId="0" applyFill="1" applyBorder="1">
      <alignment vertical="center"/>
    </xf>
    <xf numFmtId="2" fontId="0" fillId="2" borderId="11" xfId="0" applyNumberFormat="1" applyFill="1" applyBorder="1">
      <alignment vertical="center"/>
    </xf>
    <xf numFmtId="0" fontId="0" fillId="2" borderId="10" xfId="0" applyFill="1" applyBorder="1" applyAlignment="1">
      <alignment horizontal="right" vertical="center"/>
    </xf>
    <xf numFmtId="0" fontId="0" fillId="2" borderId="8" xfId="0" applyFill="1" applyBorder="1">
      <alignment vertical="center"/>
    </xf>
    <xf numFmtId="0" fontId="0" fillId="2" borderId="12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4" xfId="0" applyNumberFormat="1" applyFill="1" applyBorder="1">
      <alignment vertical="center"/>
    </xf>
    <xf numFmtId="0" fontId="0" fillId="2" borderId="13" xfId="0" applyNumberFormat="1" applyFill="1" applyBorder="1">
      <alignment vertical="center"/>
    </xf>
    <xf numFmtId="0" fontId="0" fillId="2" borderId="5" xfId="0" applyNumberFormat="1" applyFill="1" applyBorder="1">
      <alignment vertical="center"/>
    </xf>
    <xf numFmtId="0" fontId="0" fillId="2" borderId="6" xfId="0" applyNumberFormat="1" applyFill="1" applyBorder="1">
      <alignment vertical="center"/>
    </xf>
    <xf numFmtId="0" fontId="0" fillId="2" borderId="0" xfId="0" applyNumberFormat="1" applyFill="1" applyBorder="1">
      <alignment vertical="center"/>
    </xf>
    <xf numFmtId="2" fontId="0" fillId="2" borderId="0" xfId="0" applyNumberFormat="1" applyFill="1" applyBorder="1">
      <alignment vertical="center"/>
    </xf>
    <xf numFmtId="0" fontId="0" fillId="2" borderId="7" xfId="0" applyNumberFormat="1" applyFill="1" applyBorder="1">
      <alignment vertical="center"/>
    </xf>
    <xf numFmtId="178" fontId="0" fillId="2" borderId="0" xfId="0" applyNumberFormat="1" applyFill="1" applyBorder="1">
      <alignment vertical="center"/>
    </xf>
    <xf numFmtId="0" fontId="0" fillId="2" borderId="8" xfId="0" applyNumberFormat="1" applyFill="1" applyBorder="1">
      <alignment vertical="center"/>
    </xf>
    <xf numFmtId="0" fontId="0" fillId="2" borderId="14" xfId="0" applyNumberFormat="1" applyFill="1" applyBorder="1">
      <alignment vertical="center"/>
    </xf>
    <xf numFmtId="2" fontId="0" fillId="2" borderId="14" xfId="0" applyNumberFormat="1" applyFill="1" applyBorder="1">
      <alignment vertical="center"/>
    </xf>
    <xf numFmtId="0" fontId="0" fillId="2" borderId="9" xfId="0" applyNumberFormat="1" applyFill="1" applyBorder="1">
      <alignment vertical="center"/>
    </xf>
    <xf numFmtId="0" fontId="0" fillId="2" borderId="15" xfId="0" applyNumberFormat="1" applyFill="1" applyBorder="1">
      <alignment vertical="center"/>
    </xf>
    <xf numFmtId="2" fontId="0" fillId="2" borderId="2" xfId="0" applyNumberFormat="1" applyFill="1" applyBorder="1">
      <alignment vertical="center"/>
    </xf>
    <xf numFmtId="1" fontId="0" fillId="2" borderId="0" xfId="0" applyNumberFormat="1" applyFill="1">
      <alignment vertical="center"/>
    </xf>
    <xf numFmtId="10" fontId="0" fillId="2" borderId="15" xfId="0" applyNumberFormat="1" applyFill="1" applyBorder="1">
      <alignment vertical="center"/>
    </xf>
    <xf numFmtId="0" fontId="0" fillId="2" borderId="0" xfId="0" quotePrefix="1" applyFill="1">
      <alignment vertical="center"/>
    </xf>
    <xf numFmtId="179" fontId="0" fillId="2" borderId="15" xfId="0" applyNumberFormat="1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10" fontId="0" fillId="2" borderId="13" xfId="0" applyNumberFormat="1" applyFill="1" applyBorder="1">
      <alignment vertical="center"/>
    </xf>
    <xf numFmtId="180" fontId="0" fillId="2" borderId="14" xfId="0" applyNumberFormat="1" applyFill="1" applyBorder="1">
      <alignment vertical="center"/>
    </xf>
    <xf numFmtId="0" fontId="0" fillId="2" borderId="9" xfId="0" applyFill="1" applyBorder="1">
      <alignment vertical="center"/>
    </xf>
    <xf numFmtId="180" fontId="0" fillId="2" borderId="8" xfId="0" applyNumberFormat="1" applyFill="1" applyBorder="1">
      <alignment vertical="center"/>
    </xf>
    <xf numFmtId="0" fontId="0" fillId="2" borderId="13" xfId="0" applyFill="1" applyBorder="1">
      <alignment vertical="center"/>
    </xf>
    <xf numFmtId="1" fontId="0" fillId="2" borderId="8" xfId="0" applyNumberFormat="1" applyFill="1" applyBorder="1">
      <alignment vertical="center"/>
    </xf>
    <xf numFmtId="1" fontId="0" fillId="2" borderId="14" xfId="0" applyNumberFormat="1" applyFill="1" applyBorder="1">
      <alignment vertical="center"/>
    </xf>
    <xf numFmtId="0" fontId="0" fillId="2" borderId="14" xfId="0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F3D2-5DFB-4303-BD3A-212554984CF2}">
  <dimension ref="A1:Q132"/>
  <sheetViews>
    <sheetView tabSelected="1" topLeftCell="A102" zoomScale="130" zoomScaleNormal="130" workbookViewId="0">
      <selection activeCell="B114" sqref="B114"/>
    </sheetView>
  </sheetViews>
  <sheetFormatPr defaultRowHeight="16.5" x14ac:dyDescent="0.3"/>
  <cols>
    <col min="1" max="1" width="23.375" bestFit="1" customWidth="1"/>
    <col min="2" max="2" width="14.25" bestFit="1" customWidth="1"/>
    <col min="3" max="3" width="18.375" bestFit="1" customWidth="1"/>
    <col min="4" max="4" width="18" bestFit="1" customWidth="1"/>
    <col min="5" max="5" width="14.25" bestFit="1" customWidth="1"/>
    <col min="6" max="9" width="9" customWidth="1"/>
  </cols>
  <sheetData>
    <row r="1" spans="1:9" x14ac:dyDescent="0.3">
      <c r="A1" s="6">
        <v>6.7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/>
      <c r="I2" s="1" t="s">
        <v>1</v>
      </c>
    </row>
    <row r="3" spans="1:9" x14ac:dyDescent="0.3">
      <c r="A3" s="1"/>
      <c r="B3" s="1">
        <v>-750000</v>
      </c>
      <c r="C3" s="1">
        <v>0</v>
      </c>
      <c r="D3" s="1">
        <v>0</v>
      </c>
      <c r="E3" s="1">
        <v>0</v>
      </c>
      <c r="F3" s="1">
        <v>0</v>
      </c>
      <c r="G3" s="1">
        <v>125000</v>
      </c>
      <c r="H3" s="1"/>
      <c r="I3" s="2">
        <v>0.25</v>
      </c>
    </row>
    <row r="4" spans="1:9" x14ac:dyDescent="0.3">
      <c r="A4" s="1" t="s">
        <v>2</v>
      </c>
      <c r="B4" s="3">
        <f>-PMT(I3,5,B3)</f>
        <v>-278885.05473584007</v>
      </c>
      <c r="C4" s="1"/>
      <c r="D4" s="1"/>
      <c r="E4" s="1"/>
      <c r="F4" s="1"/>
      <c r="G4" s="1"/>
      <c r="H4" s="1"/>
      <c r="I4" s="1"/>
    </row>
    <row r="5" spans="1:9" ht="17.25" thickBot="1" x14ac:dyDescent="0.35">
      <c r="A5" s="1" t="s">
        <v>3</v>
      </c>
      <c r="B5" s="3">
        <f>-PMT(I3,5,,G3)</f>
        <v>15230.842455973347</v>
      </c>
      <c r="C5" s="1"/>
      <c r="D5" s="1"/>
      <c r="E5" s="1"/>
      <c r="F5" s="1"/>
      <c r="G5" s="1"/>
      <c r="H5" s="1"/>
      <c r="I5" s="1"/>
    </row>
    <row r="6" spans="1:9" ht="17.25" thickBot="1" x14ac:dyDescent="0.35">
      <c r="A6" s="4" t="s">
        <v>4</v>
      </c>
      <c r="B6" s="5">
        <f>SUM(B4:B5)</f>
        <v>-263654.21227986674</v>
      </c>
      <c r="C6" s="1" t="s">
        <v>7</v>
      </c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 t="s">
        <v>5</v>
      </c>
      <c r="B8" s="1">
        <v>-80000</v>
      </c>
      <c r="C8" s="1"/>
      <c r="D8" s="1"/>
      <c r="E8" s="1"/>
      <c r="F8" s="1"/>
      <c r="G8" s="1"/>
      <c r="H8" s="1"/>
      <c r="I8" s="1"/>
    </row>
    <row r="9" spans="1:9" ht="17.25" thickBot="1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ht="17.25" thickBot="1" x14ac:dyDescent="0.35">
      <c r="A10" s="4" t="s">
        <v>6</v>
      </c>
      <c r="B10" s="5">
        <f>B6+B8</f>
        <v>-343654.21227986674</v>
      </c>
      <c r="C10" s="1" t="s">
        <v>8</v>
      </c>
      <c r="D10" s="1"/>
      <c r="E10" s="1"/>
      <c r="F10" s="1"/>
      <c r="G10" s="1"/>
      <c r="H10" s="1"/>
      <c r="I10" s="1"/>
    </row>
    <row r="12" spans="1:9" ht="17.25" thickBot="1" x14ac:dyDescent="0.35">
      <c r="A12" s="6">
        <v>6.16</v>
      </c>
      <c r="B12" s="1"/>
      <c r="C12" s="1"/>
      <c r="D12" s="1"/>
      <c r="E12" s="1"/>
      <c r="F12" s="1"/>
      <c r="G12" s="1" t="s">
        <v>18</v>
      </c>
      <c r="H12" s="2">
        <v>0.12</v>
      </c>
      <c r="I12" s="1" t="s">
        <v>23</v>
      </c>
    </row>
    <row r="13" spans="1:9" x14ac:dyDescent="0.3">
      <c r="A13" s="9" t="s">
        <v>9</v>
      </c>
      <c r="B13" s="10"/>
      <c r="C13" s="1"/>
      <c r="D13" s="9" t="s">
        <v>11</v>
      </c>
      <c r="E13" s="10"/>
      <c r="F13" s="1"/>
      <c r="G13" s="1" t="s">
        <v>18</v>
      </c>
      <c r="H13" s="2">
        <f>(1+1%/1)^1-1</f>
        <v>1.0000000000000009E-2</v>
      </c>
      <c r="I13" s="1" t="s">
        <v>26</v>
      </c>
    </row>
    <row r="14" spans="1:9" x14ac:dyDescent="0.3">
      <c r="A14" s="11" t="s">
        <v>13</v>
      </c>
      <c r="B14" s="12">
        <v>-2200</v>
      </c>
      <c r="C14" s="1"/>
      <c r="D14" s="11" t="s">
        <v>15</v>
      </c>
      <c r="E14" s="12">
        <v>-900</v>
      </c>
      <c r="F14" s="1"/>
      <c r="G14" s="1" t="s">
        <v>24</v>
      </c>
      <c r="H14" s="1">
        <v>1</v>
      </c>
      <c r="I14" s="1" t="s">
        <v>25</v>
      </c>
    </row>
    <row r="15" spans="1:9" x14ac:dyDescent="0.3">
      <c r="A15" s="11" t="s">
        <v>10</v>
      </c>
      <c r="B15" s="12">
        <v>-26000</v>
      </c>
      <c r="C15" s="1"/>
      <c r="D15" s="11" t="s">
        <v>10</v>
      </c>
      <c r="E15" s="12">
        <v>-17900</v>
      </c>
      <c r="F15" s="1"/>
      <c r="G15" s="1"/>
      <c r="H15" s="13">
        <v>5</v>
      </c>
      <c r="I15" s="1" t="s">
        <v>27</v>
      </c>
    </row>
    <row r="16" spans="1:9" x14ac:dyDescent="0.3">
      <c r="A16" s="11" t="s">
        <v>14</v>
      </c>
      <c r="B16" s="12">
        <v>14100</v>
      </c>
      <c r="C16" s="1"/>
      <c r="D16" s="11" t="s">
        <v>14</v>
      </c>
      <c r="E16" s="12">
        <v>6200</v>
      </c>
      <c r="F16" s="1"/>
      <c r="G16" s="1"/>
      <c r="H16" s="13">
        <v>60</v>
      </c>
      <c r="I16" s="1" t="s">
        <v>25</v>
      </c>
    </row>
    <row r="17" spans="1:9" x14ac:dyDescent="0.3">
      <c r="A17" s="11" t="s">
        <v>12</v>
      </c>
      <c r="B17" s="12">
        <v>-3700</v>
      </c>
      <c r="C17" s="1"/>
      <c r="D17" s="11"/>
      <c r="E17" s="12"/>
      <c r="F17" s="1"/>
      <c r="G17" s="1"/>
      <c r="H17" s="1"/>
      <c r="I17" s="1"/>
    </row>
    <row r="18" spans="1:9" x14ac:dyDescent="0.3">
      <c r="A18" s="11" t="s">
        <v>17</v>
      </c>
      <c r="B18" s="12">
        <f>-B15*10%</f>
        <v>2600</v>
      </c>
      <c r="C18" s="1"/>
      <c r="D18" s="11" t="s">
        <v>17</v>
      </c>
      <c r="E18" s="12">
        <f>-E15*35%</f>
        <v>6265</v>
      </c>
      <c r="F18" s="1"/>
      <c r="G18" s="1"/>
      <c r="H18" s="1"/>
      <c r="I18" s="1"/>
    </row>
    <row r="19" spans="1:9" x14ac:dyDescent="0.3">
      <c r="A19" s="11"/>
      <c r="B19" s="12"/>
      <c r="C19" s="1"/>
      <c r="D19" s="11"/>
      <c r="E19" s="12"/>
      <c r="F19" s="1"/>
      <c r="G19" s="1"/>
      <c r="H19" s="1"/>
      <c r="I19" s="1"/>
    </row>
    <row r="20" spans="1:9" x14ac:dyDescent="0.3">
      <c r="A20" s="11" t="s">
        <v>19</v>
      </c>
      <c r="B20" s="12">
        <f>(B14+B16+B17)</f>
        <v>8200</v>
      </c>
      <c r="C20" s="1"/>
      <c r="D20" s="11" t="s">
        <v>19</v>
      </c>
      <c r="E20" s="12">
        <f>(E14+E16)</f>
        <v>5300</v>
      </c>
      <c r="F20" s="1"/>
      <c r="G20" s="1"/>
      <c r="H20" s="1"/>
      <c r="I20" s="1"/>
    </row>
    <row r="21" spans="1:9" x14ac:dyDescent="0.3">
      <c r="A21" s="11" t="s">
        <v>20</v>
      </c>
      <c r="B21" s="14">
        <f>-PMT(H13,60,B15)</f>
        <v>-578.35563980744621</v>
      </c>
      <c r="C21" s="1"/>
      <c r="D21" s="11" t="s">
        <v>20</v>
      </c>
      <c r="E21" s="15">
        <f>-PMT(H13,60,E15)</f>
        <v>-398.17561355974181</v>
      </c>
      <c r="F21" s="1"/>
      <c r="G21" s="1"/>
      <c r="H21" s="1"/>
      <c r="I21" s="1"/>
    </row>
    <row r="22" spans="1:9" ht="17.25" thickBot="1" x14ac:dyDescent="0.35">
      <c r="A22" s="11" t="s">
        <v>21</v>
      </c>
      <c r="B22" s="14">
        <f>-PMT(H13,60,,B18)</f>
        <v>31.835563980744602</v>
      </c>
      <c r="C22" s="1"/>
      <c r="D22" s="11" t="s">
        <v>21</v>
      </c>
      <c r="E22" s="16">
        <f>-PMT(H13,60,,E18)</f>
        <v>76.711464745909595</v>
      </c>
      <c r="F22" s="1"/>
      <c r="G22" s="1"/>
      <c r="H22" s="1"/>
      <c r="I22" s="1"/>
    </row>
    <row r="23" spans="1:9" ht="17.25" thickBot="1" x14ac:dyDescent="0.35">
      <c r="A23" s="4" t="s">
        <v>4</v>
      </c>
      <c r="B23" s="17">
        <f>SUM(B20:B22)</f>
        <v>7653.4799241732981</v>
      </c>
      <c r="C23" s="18" t="s">
        <v>28</v>
      </c>
      <c r="D23" s="4" t="s">
        <v>4</v>
      </c>
      <c r="E23" s="17">
        <f>SUM(E20:E22)</f>
        <v>4978.5358511861677</v>
      </c>
      <c r="F23" s="1"/>
      <c r="G23" s="1"/>
      <c r="H23" s="1"/>
      <c r="I23" s="1"/>
    </row>
    <row r="24" spans="1:9" ht="17.25" thickBot="1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ht="17.25" thickBot="1" x14ac:dyDescent="0.35">
      <c r="A25" s="4" t="s">
        <v>22</v>
      </c>
      <c r="B25" s="17" t="s">
        <v>9</v>
      </c>
      <c r="C25" s="1"/>
      <c r="D25" s="1"/>
      <c r="E25" s="1"/>
      <c r="F25" s="1"/>
      <c r="G25" s="1"/>
      <c r="H25" s="1"/>
      <c r="I25" s="1"/>
    </row>
    <row r="27" spans="1:9" x14ac:dyDescent="0.3">
      <c r="A27" s="6">
        <v>6.31</v>
      </c>
      <c r="B27" s="1"/>
      <c r="C27" s="1"/>
      <c r="D27" s="1"/>
    </row>
    <row r="28" spans="1:9" x14ac:dyDescent="0.3">
      <c r="A28" s="1" t="s">
        <v>18</v>
      </c>
      <c r="B28" s="2">
        <v>0.1</v>
      </c>
      <c r="C28" s="1" t="s">
        <v>23</v>
      </c>
      <c r="D28" s="1"/>
    </row>
    <row r="29" spans="1:9" ht="17.25" thickBot="1" x14ac:dyDescent="0.35">
      <c r="A29" s="1"/>
      <c r="B29" s="1"/>
      <c r="C29" s="1"/>
      <c r="D29" s="1"/>
    </row>
    <row r="30" spans="1:9" ht="17.25" thickBot="1" x14ac:dyDescent="0.35">
      <c r="A30" s="1"/>
      <c r="B30" s="20" t="s">
        <v>29</v>
      </c>
      <c r="C30" s="20" t="s">
        <v>30</v>
      </c>
      <c r="D30" s="20" t="s">
        <v>31</v>
      </c>
    </row>
    <row r="31" spans="1:9" x14ac:dyDescent="0.3">
      <c r="A31" s="9" t="s">
        <v>10</v>
      </c>
      <c r="B31" s="24">
        <v>0</v>
      </c>
      <c r="C31" s="24">
        <v>-2</v>
      </c>
      <c r="D31" s="24">
        <v>-20</v>
      </c>
    </row>
    <row r="32" spans="1:9" x14ac:dyDescent="0.3">
      <c r="A32" s="11" t="s">
        <v>32</v>
      </c>
      <c r="B32" s="21">
        <v>-1</v>
      </c>
      <c r="C32" s="21">
        <v>-0.2</v>
      </c>
      <c r="D32" s="21">
        <v>-4</v>
      </c>
    </row>
    <row r="33" spans="1:7" x14ac:dyDescent="0.3">
      <c r="A33" s="11" t="s">
        <v>33</v>
      </c>
      <c r="B33" s="21">
        <v>2.5</v>
      </c>
      <c r="C33" s="21">
        <v>1.3</v>
      </c>
      <c r="D33" s="21">
        <v>8</v>
      </c>
    </row>
    <row r="34" spans="1:7" ht="17.25" thickBot="1" x14ac:dyDescent="0.35">
      <c r="A34" s="25" t="s">
        <v>34</v>
      </c>
      <c r="B34" s="26">
        <v>5</v>
      </c>
      <c r="C34" s="26">
        <v>10</v>
      </c>
      <c r="D34" s="26" t="s">
        <v>35</v>
      </c>
    </row>
    <row r="35" spans="1:7" ht="17.25" thickBot="1" x14ac:dyDescent="0.35">
      <c r="A35" s="1"/>
      <c r="B35" s="22"/>
      <c r="C35" s="22"/>
      <c r="D35" s="22"/>
    </row>
    <row r="36" spans="1:7" x14ac:dyDescent="0.3">
      <c r="A36" s="9" t="s">
        <v>36</v>
      </c>
      <c r="B36" s="20">
        <f>B32+B33</f>
        <v>1.5</v>
      </c>
      <c r="C36" s="20">
        <f>C32+C33</f>
        <v>1.1000000000000001</v>
      </c>
      <c r="D36" s="20">
        <f>D32+D33</f>
        <v>4</v>
      </c>
    </row>
    <row r="37" spans="1:7" ht="17.25" thickBot="1" x14ac:dyDescent="0.35">
      <c r="A37" s="11" t="s">
        <v>20</v>
      </c>
      <c r="B37" s="21">
        <v>0</v>
      </c>
      <c r="C37" s="23">
        <f>-PMT(B28,C34,C31)</f>
        <v>-0.32549078976502321</v>
      </c>
      <c r="D37" s="22">
        <f>D31*B28</f>
        <v>-2</v>
      </c>
    </row>
    <row r="38" spans="1:7" ht="17.25" thickBot="1" x14ac:dyDescent="0.35">
      <c r="A38" s="4" t="s">
        <v>4</v>
      </c>
      <c r="B38" s="27">
        <f>SUM(B36:B37)</f>
        <v>1.5</v>
      </c>
      <c r="C38" s="28">
        <f t="shared" ref="C38:D38" si="0">SUM(C36:C37)</f>
        <v>0.77450921023497687</v>
      </c>
      <c r="D38" s="27">
        <f t="shared" si="0"/>
        <v>2</v>
      </c>
    </row>
    <row r="39" spans="1:7" ht="17.25" thickBot="1" x14ac:dyDescent="0.35">
      <c r="A39" s="1"/>
      <c r="B39" s="1"/>
      <c r="C39" s="1"/>
      <c r="D39" s="1"/>
    </row>
    <row r="40" spans="1:7" ht="17.25" thickBot="1" x14ac:dyDescent="0.35">
      <c r="A40" s="4" t="s">
        <v>22</v>
      </c>
      <c r="B40" s="17" t="s">
        <v>31</v>
      </c>
      <c r="C40" s="1"/>
      <c r="D40" s="1"/>
    </row>
    <row r="42" spans="1:7" x14ac:dyDescent="0.3">
      <c r="A42" s="6">
        <v>6.36</v>
      </c>
      <c r="B42" s="1"/>
      <c r="C42" s="1"/>
      <c r="D42" s="1"/>
    </row>
    <row r="43" spans="1:7" x14ac:dyDescent="0.3">
      <c r="A43" s="1" t="s">
        <v>18</v>
      </c>
      <c r="B43" s="2">
        <v>0.08</v>
      </c>
      <c r="C43" s="1"/>
      <c r="D43" s="1"/>
    </row>
    <row r="44" spans="1:7" x14ac:dyDescent="0.3">
      <c r="A44" s="1" t="s">
        <v>37</v>
      </c>
      <c r="B44" s="1">
        <v>10</v>
      </c>
      <c r="C44" s="1" t="s">
        <v>38</v>
      </c>
      <c r="D44" s="1"/>
    </row>
    <row r="45" spans="1:7" ht="17.25" thickBot="1" x14ac:dyDescent="0.35">
      <c r="A45" s="1"/>
      <c r="B45" s="1"/>
      <c r="C45" s="1"/>
      <c r="D45" s="1"/>
    </row>
    <row r="46" spans="1:7" x14ac:dyDescent="0.3">
      <c r="A46" s="29" t="s">
        <v>39</v>
      </c>
      <c r="B46" s="30" t="s">
        <v>40</v>
      </c>
      <c r="C46" s="30"/>
      <c r="D46" s="31" t="s">
        <v>44</v>
      </c>
      <c r="E46" s="7"/>
      <c r="F46" s="7"/>
      <c r="G46" s="7"/>
    </row>
    <row r="47" spans="1:7" x14ac:dyDescent="0.3">
      <c r="A47" s="32"/>
      <c r="B47" s="33">
        <v>250000</v>
      </c>
      <c r="C47" s="34">
        <f>-PV(B43,4,150000)</f>
        <v>496819.02600665012</v>
      </c>
      <c r="D47" s="16">
        <f>SUM(B47:C47)</f>
        <v>746819.02600665018</v>
      </c>
      <c r="E47" s="7"/>
      <c r="F47" s="7"/>
      <c r="G47" s="7"/>
    </row>
    <row r="48" spans="1:7" x14ac:dyDescent="0.3">
      <c r="A48" s="32"/>
      <c r="B48" s="33" t="s">
        <v>41</v>
      </c>
      <c r="C48" s="34"/>
      <c r="D48" s="35" t="s">
        <v>44</v>
      </c>
      <c r="E48" s="7"/>
      <c r="F48" s="7"/>
      <c r="G48" s="7"/>
    </row>
    <row r="49" spans="1:7" x14ac:dyDescent="0.3">
      <c r="A49" s="32"/>
      <c r="B49" s="33">
        <v>45000</v>
      </c>
      <c r="C49" s="34">
        <f>-PV(B43,2,35000)</f>
        <v>62414.266117969855</v>
      </c>
      <c r="D49" s="16">
        <f>SUM(B49:C49)</f>
        <v>107414.26611796985</v>
      </c>
      <c r="E49" s="7"/>
      <c r="F49" s="7"/>
      <c r="G49" s="7"/>
    </row>
    <row r="50" spans="1:7" x14ac:dyDescent="0.3">
      <c r="A50" s="32"/>
      <c r="B50" s="33" t="s">
        <v>42</v>
      </c>
      <c r="C50" s="34"/>
      <c r="D50" s="35" t="s">
        <v>44</v>
      </c>
      <c r="E50" s="7"/>
      <c r="F50" s="7"/>
      <c r="G50" s="7"/>
    </row>
    <row r="51" spans="1:7" x14ac:dyDescent="0.3">
      <c r="A51" s="32"/>
      <c r="B51" s="33"/>
      <c r="C51" s="34">
        <f>-PV(B43,10,50000)</f>
        <v>335504.06994707236</v>
      </c>
      <c r="D51" s="16">
        <f>C51</f>
        <v>335504.06994707236</v>
      </c>
      <c r="E51" s="7"/>
      <c r="F51" s="7"/>
      <c r="G51" s="7"/>
    </row>
    <row r="52" spans="1:7" x14ac:dyDescent="0.3">
      <c r="A52" s="32"/>
      <c r="B52" s="33" t="s">
        <v>43</v>
      </c>
      <c r="C52" s="34"/>
      <c r="D52" s="35" t="s">
        <v>44</v>
      </c>
      <c r="E52" s="7"/>
      <c r="F52" s="7"/>
      <c r="G52" s="7"/>
    </row>
    <row r="53" spans="1:7" x14ac:dyDescent="0.3">
      <c r="A53" s="32"/>
      <c r="B53" s="33"/>
      <c r="C53" s="34">
        <f>-PV(B43,5,30000)</f>
        <v>119781.30111234261</v>
      </c>
      <c r="D53" s="16">
        <f>C53</f>
        <v>119781.30111234261</v>
      </c>
      <c r="E53" s="7"/>
      <c r="F53" s="7"/>
      <c r="G53" s="7"/>
    </row>
    <row r="54" spans="1:7" x14ac:dyDescent="0.3">
      <c r="A54" s="32"/>
      <c r="B54" s="33"/>
      <c r="C54" s="33"/>
      <c r="D54" s="35"/>
      <c r="E54" s="7"/>
      <c r="F54" s="7"/>
      <c r="G54" s="7"/>
    </row>
    <row r="55" spans="1:7" x14ac:dyDescent="0.3">
      <c r="A55" s="32"/>
      <c r="B55" s="33" t="s">
        <v>45</v>
      </c>
      <c r="C55" s="36">
        <f>D47+D49+D51+D53</f>
        <v>1309518.6631840351</v>
      </c>
      <c r="D55" s="35"/>
      <c r="E55" s="7"/>
      <c r="F55" s="7"/>
      <c r="G55" s="7"/>
    </row>
    <row r="56" spans="1:7" ht="17.25" thickBot="1" x14ac:dyDescent="0.35">
      <c r="A56" s="37"/>
      <c r="B56" s="38" t="s">
        <v>50</v>
      </c>
      <c r="C56" s="39">
        <f>PMT(B43,B44,C55)</f>
        <v>-195156.89681359447</v>
      </c>
      <c r="D56" s="40"/>
      <c r="E56" s="7"/>
      <c r="F56" s="7"/>
      <c r="G56" s="7"/>
    </row>
    <row r="57" spans="1:7" ht="17.25" thickBot="1" x14ac:dyDescent="0.35">
      <c r="A57" s="13"/>
      <c r="B57" s="13"/>
      <c r="C57" s="13"/>
      <c r="D57" s="13"/>
      <c r="E57" s="7"/>
      <c r="F57" s="7"/>
      <c r="G57" s="7"/>
    </row>
    <row r="58" spans="1:7" x14ac:dyDescent="0.3">
      <c r="A58" s="29" t="s">
        <v>46</v>
      </c>
      <c r="B58" s="30" t="s">
        <v>40</v>
      </c>
      <c r="C58" s="30"/>
      <c r="D58" s="31" t="s">
        <v>44</v>
      </c>
      <c r="E58" s="7"/>
      <c r="F58" s="7"/>
      <c r="G58" s="7"/>
    </row>
    <row r="59" spans="1:7" x14ac:dyDescent="0.3">
      <c r="A59" s="11"/>
      <c r="B59" s="33">
        <v>10000</v>
      </c>
      <c r="C59" s="34"/>
      <c r="D59" s="16">
        <v>10000</v>
      </c>
    </row>
    <row r="60" spans="1:7" x14ac:dyDescent="0.3">
      <c r="A60" s="11"/>
      <c r="B60" s="33" t="s">
        <v>41</v>
      </c>
      <c r="C60" s="34"/>
      <c r="D60" s="35" t="s">
        <v>44</v>
      </c>
    </row>
    <row r="61" spans="1:7" x14ac:dyDescent="0.3">
      <c r="A61" s="11"/>
      <c r="B61" s="33">
        <v>45000</v>
      </c>
      <c r="C61" s="34">
        <f>-PV(B43,3,30000)</f>
        <v>77312.909617436409</v>
      </c>
      <c r="D61" s="16">
        <f>SUM(B61:C61)</f>
        <v>122312.90961743641</v>
      </c>
    </row>
    <row r="62" spans="1:7" x14ac:dyDescent="0.3">
      <c r="A62" s="11"/>
      <c r="B62" s="33" t="s">
        <v>42</v>
      </c>
      <c r="C62" s="34"/>
      <c r="D62" s="35" t="s">
        <v>44</v>
      </c>
    </row>
    <row r="63" spans="1:7" x14ac:dyDescent="0.3">
      <c r="A63" s="11"/>
      <c r="B63" s="33"/>
      <c r="C63" s="34">
        <f>-PV(B43,10,80000)</f>
        <v>536806.51191531576</v>
      </c>
      <c r="D63" s="16">
        <f>C63</f>
        <v>536806.51191531576</v>
      </c>
    </row>
    <row r="64" spans="1:7" x14ac:dyDescent="0.3">
      <c r="A64" s="11"/>
      <c r="B64" s="33" t="s">
        <v>43</v>
      </c>
      <c r="C64" s="34"/>
      <c r="D64" s="35" t="s">
        <v>44</v>
      </c>
    </row>
    <row r="65" spans="1:7" x14ac:dyDescent="0.3">
      <c r="A65" s="11"/>
      <c r="B65" s="33"/>
      <c r="C65" s="34">
        <f>-PV(B43,10,40000)</f>
        <v>268403.25595765788</v>
      </c>
      <c r="D65" s="16">
        <f>C65</f>
        <v>268403.25595765788</v>
      </c>
    </row>
    <row r="66" spans="1:7" x14ac:dyDescent="0.3">
      <c r="A66" s="11"/>
      <c r="B66" s="33"/>
      <c r="C66" s="33"/>
      <c r="D66" s="35"/>
    </row>
    <row r="67" spans="1:7" x14ac:dyDescent="0.3">
      <c r="A67" s="11"/>
      <c r="B67" s="33" t="s">
        <v>49</v>
      </c>
      <c r="C67" s="36">
        <f>D59+D61+D63+D65</f>
        <v>937522.67749041016</v>
      </c>
      <c r="D67" s="35"/>
    </row>
    <row r="68" spans="1:7" ht="17.25" thickBot="1" x14ac:dyDescent="0.35">
      <c r="A68" s="25"/>
      <c r="B68" s="38" t="s">
        <v>48</v>
      </c>
      <c r="C68" s="39">
        <f>PMT(B43,B44,C67)</f>
        <v>-139718.52526830896</v>
      </c>
      <c r="D68" s="40"/>
    </row>
    <row r="69" spans="1:7" ht="17.25" thickBot="1" x14ac:dyDescent="0.35">
      <c r="A69" s="1"/>
      <c r="B69" s="1"/>
      <c r="C69" s="1"/>
      <c r="D69" s="1"/>
    </row>
    <row r="70" spans="1:7" ht="17.25" thickBot="1" x14ac:dyDescent="0.35">
      <c r="A70" s="4" t="s">
        <v>47</v>
      </c>
      <c r="B70" s="41" t="s">
        <v>51</v>
      </c>
      <c r="C70" s="41">
        <v>-175000</v>
      </c>
      <c r="D70" s="17"/>
    </row>
    <row r="71" spans="1:7" ht="17.25" thickBot="1" x14ac:dyDescent="0.35">
      <c r="A71" s="1"/>
      <c r="B71" s="1"/>
      <c r="C71" s="19"/>
      <c r="D71" s="19"/>
    </row>
    <row r="72" spans="1:7" ht="17.25" thickBot="1" x14ac:dyDescent="0.35">
      <c r="A72" s="42" t="s">
        <v>22</v>
      </c>
      <c r="B72" s="17" t="s">
        <v>46</v>
      </c>
      <c r="C72" s="1"/>
      <c r="D72" s="1"/>
    </row>
    <row r="73" spans="1:7" x14ac:dyDescent="0.3">
      <c r="B73" s="8"/>
      <c r="C73" s="8"/>
    </row>
    <row r="74" spans="1:7" x14ac:dyDescent="0.3">
      <c r="A74" s="6">
        <v>6.49</v>
      </c>
      <c r="B74" s="1"/>
      <c r="C74" s="1"/>
      <c r="D74" s="1"/>
      <c r="E74" s="1"/>
      <c r="F74" s="1"/>
      <c r="G74" s="1"/>
    </row>
    <row r="75" spans="1:7" x14ac:dyDescent="0.3">
      <c r="A75" s="1" t="s">
        <v>52</v>
      </c>
      <c r="B75" s="43">
        <v>-4663.3515685720195</v>
      </c>
      <c r="C75" s="1"/>
      <c r="D75" s="1" t="s">
        <v>54</v>
      </c>
      <c r="E75" s="19">
        <f>FV(B77,B76,B75)</f>
        <v>74321.814012071729</v>
      </c>
      <c r="F75" s="1"/>
      <c r="G75" s="1"/>
    </row>
    <row r="76" spans="1:7" x14ac:dyDescent="0.3">
      <c r="A76" s="1" t="s">
        <v>37</v>
      </c>
      <c r="B76" s="1">
        <v>10</v>
      </c>
      <c r="C76" s="1"/>
      <c r="D76" s="1" t="s">
        <v>53</v>
      </c>
      <c r="E76" s="43">
        <f>-FV(B77,20,,E75)</f>
        <v>499999.99999999988</v>
      </c>
      <c r="F76" s="1" t="s">
        <v>58</v>
      </c>
      <c r="G76" s="1"/>
    </row>
    <row r="77" spans="1:7" x14ac:dyDescent="0.3">
      <c r="A77" s="1" t="s">
        <v>18</v>
      </c>
      <c r="B77" s="2">
        <v>0.1</v>
      </c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 t="s">
        <v>53</v>
      </c>
      <c r="B79" s="1" t="s">
        <v>56</v>
      </c>
      <c r="C79" s="1"/>
      <c r="D79" s="1"/>
      <c r="E79" s="1"/>
      <c r="F79" s="1"/>
      <c r="G79" s="1"/>
    </row>
    <row r="80" spans="1:7" ht="17.25" thickBot="1" x14ac:dyDescent="0.35">
      <c r="A80" s="1"/>
      <c r="B80" s="1"/>
      <c r="C80" s="1"/>
      <c r="D80" s="1"/>
      <c r="E80" s="1"/>
      <c r="F80" s="1"/>
      <c r="G80" s="1"/>
    </row>
    <row r="81" spans="1:10" ht="17.25" thickBot="1" x14ac:dyDescent="0.35">
      <c r="A81" s="4" t="s">
        <v>22</v>
      </c>
      <c r="B81" s="17" t="s">
        <v>8</v>
      </c>
      <c r="C81" s="1"/>
      <c r="D81" s="1"/>
      <c r="E81" s="1"/>
      <c r="F81" s="1"/>
      <c r="G81" s="1"/>
    </row>
    <row r="83" spans="1:10" x14ac:dyDescent="0.3">
      <c r="A83" s="6">
        <v>7.12</v>
      </c>
      <c r="B83" s="1"/>
      <c r="C83" s="1"/>
      <c r="D83" s="1"/>
      <c r="E83" s="1"/>
      <c r="F83" s="1"/>
      <c r="G83" s="1"/>
      <c r="H83" s="1"/>
      <c r="I83" s="1"/>
      <c r="J83" s="1" t="s">
        <v>62</v>
      </c>
    </row>
    <row r="84" spans="1:10" x14ac:dyDescent="0.3">
      <c r="A84" s="1" t="s">
        <v>60</v>
      </c>
      <c r="B84" s="1">
        <v>-650000</v>
      </c>
      <c r="C84" s="1" t="s">
        <v>61</v>
      </c>
      <c r="D84" s="1"/>
      <c r="E84" s="1">
        <v>-5</v>
      </c>
      <c r="F84" s="1">
        <v>-4</v>
      </c>
      <c r="G84" s="1">
        <v>-3</v>
      </c>
      <c r="H84" s="1">
        <v>-2</v>
      </c>
      <c r="I84" s="1">
        <v>-1</v>
      </c>
      <c r="J84" s="1">
        <v>0</v>
      </c>
    </row>
    <row r="85" spans="1:10" x14ac:dyDescent="0.3">
      <c r="A85" s="1" t="s">
        <v>59</v>
      </c>
      <c r="B85" s="1">
        <v>105000</v>
      </c>
      <c r="C85" s="1" t="s">
        <v>23</v>
      </c>
      <c r="D85" s="1" t="s">
        <v>10</v>
      </c>
      <c r="E85" s="1">
        <v>-650000</v>
      </c>
      <c r="F85" s="1"/>
      <c r="G85" s="1"/>
      <c r="H85" s="1"/>
      <c r="I85" s="1"/>
      <c r="J85" s="1"/>
    </row>
    <row r="86" spans="1:10" x14ac:dyDescent="0.3">
      <c r="A86" s="1" t="s">
        <v>16</v>
      </c>
      <c r="B86" s="1">
        <v>50000</v>
      </c>
      <c r="C86" s="1" t="s">
        <v>62</v>
      </c>
      <c r="D86" s="1" t="s">
        <v>68</v>
      </c>
      <c r="E86" s="1"/>
      <c r="F86" s="1">
        <v>105000</v>
      </c>
      <c r="G86" s="1">
        <v>105000</v>
      </c>
      <c r="H86" s="1">
        <v>105000</v>
      </c>
      <c r="I86" s="1">
        <v>105000</v>
      </c>
      <c r="J86" s="1">
        <v>105000</v>
      </c>
    </row>
    <row r="87" spans="1:10" x14ac:dyDescent="0.3">
      <c r="A87" s="1"/>
      <c r="B87" s="1"/>
      <c r="C87" s="1"/>
      <c r="D87" s="1" t="s">
        <v>67</v>
      </c>
      <c r="E87" s="1"/>
      <c r="F87" s="1"/>
      <c r="G87" s="1"/>
      <c r="H87" s="1"/>
      <c r="I87" s="1"/>
      <c r="J87" s="1">
        <v>50000</v>
      </c>
    </row>
    <row r="88" spans="1:10" ht="17.25" thickBot="1" x14ac:dyDescent="0.35">
      <c r="A88" s="1"/>
      <c r="B88" s="1"/>
      <c r="C88" s="1"/>
      <c r="D88" s="1" t="s">
        <v>63</v>
      </c>
      <c r="E88" s="1">
        <f>SUM(E85:E87)</f>
        <v>-650000</v>
      </c>
      <c r="F88" s="1">
        <f t="shared" ref="F88:J88" si="1">SUM(F85:F87)</f>
        <v>105000</v>
      </c>
      <c r="G88" s="1">
        <f t="shared" si="1"/>
        <v>105000</v>
      </c>
      <c r="H88" s="1">
        <f t="shared" si="1"/>
        <v>105000</v>
      </c>
      <c r="I88" s="1">
        <f t="shared" si="1"/>
        <v>105000</v>
      </c>
      <c r="J88" s="1">
        <f t="shared" si="1"/>
        <v>155000</v>
      </c>
    </row>
    <row r="89" spans="1:10" ht="17.25" thickBot="1" x14ac:dyDescent="0.35">
      <c r="A89" s="1"/>
      <c r="B89" s="1"/>
      <c r="C89" s="1"/>
      <c r="D89" s="4" t="s">
        <v>64</v>
      </c>
      <c r="E89" s="44">
        <f>IRR(E88:J88)</f>
        <v>-3.7420242501541967E-2</v>
      </c>
      <c r="F89" s="17" t="s">
        <v>7</v>
      </c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 t="s">
        <v>65</v>
      </c>
      <c r="E91" s="2">
        <v>0.15</v>
      </c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7.25" thickBot="1" x14ac:dyDescent="0.35">
      <c r="A93" s="1"/>
      <c r="B93" s="1"/>
      <c r="C93" s="1"/>
      <c r="D93" s="1"/>
      <c r="E93" s="1">
        <v>-5</v>
      </c>
      <c r="F93" s="1">
        <v>-4</v>
      </c>
      <c r="G93" s="1">
        <v>-3</v>
      </c>
      <c r="H93" s="1">
        <v>-2</v>
      </c>
      <c r="I93" s="1">
        <v>-1</v>
      </c>
      <c r="J93" s="1">
        <v>0</v>
      </c>
    </row>
    <row r="94" spans="1:10" ht="17.25" thickBot="1" x14ac:dyDescent="0.35">
      <c r="A94" s="4" t="s">
        <v>66</v>
      </c>
      <c r="B94" s="46">
        <v>186489.33147691694</v>
      </c>
      <c r="C94" s="17" t="s">
        <v>8</v>
      </c>
      <c r="D94" s="1" t="s">
        <v>10</v>
      </c>
      <c r="E94" s="1">
        <v>-650000</v>
      </c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 t="s">
        <v>68</v>
      </c>
      <c r="E95" s="1"/>
      <c r="F95" s="1">
        <f>$B$94</f>
        <v>186489.33147691694</v>
      </c>
      <c r="G95" s="1">
        <f t="shared" ref="G95:J95" si="2">$B$94</f>
        <v>186489.33147691694</v>
      </c>
      <c r="H95" s="1">
        <f t="shared" si="2"/>
        <v>186489.33147691694</v>
      </c>
      <c r="I95" s="1">
        <f t="shared" si="2"/>
        <v>186489.33147691694</v>
      </c>
      <c r="J95" s="1">
        <f t="shared" si="2"/>
        <v>186489.33147691694</v>
      </c>
    </row>
    <row r="96" spans="1:10" x14ac:dyDescent="0.3">
      <c r="A96" s="1"/>
      <c r="B96" s="1"/>
      <c r="C96" s="1"/>
      <c r="D96" s="1" t="s">
        <v>67</v>
      </c>
      <c r="E96" s="1"/>
      <c r="F96" s="1"/>
      <c r="G96" s="1"/>
      <c r="H96" s="1"/>
      <c r="I96" s="1"/>
      <c r="J96" s="1">
        <v>50000</v>
      </c>
    </row>
    <row r="97" spans="1:17" x14ac:dyDescent="0.3">
      <c r="A97" s="1"/>
      <c r="B97" s="1"/>
      <c r="C97" s="1"/>
      <c r="D97" s="1"/>
      <c r="E97" s="1">
        <f>SUM(E94:E96)</f>
        <v>-650000</v>
      </c>
      <c r="F97" s="1">
        <f t="shared" ref="F97:J97" si="3">SUM(F94:F96)</f>
        <v>186489.33147691694</v>
      </c>
      <c r="G97" s="1">
        <f t="shared" si="3"/>
        <v>186489.33147691694</v>
      </c>
      <c r="H97" s="1">
        <f t="shared" si="3"/>
        <v>186489.33147691694</v>
      </c>
      <c r="I97" s="1">
        <f t="shared" si="3"/>
        <v>186489.33147691694</v>
      </c>
      <c r="J97" s="1">
        <f t="shared" si="3"/>
        <v>236489.33147691694</v>
      </c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7" x14ac:dyDescent="0.3">
      <c r="A99" s="1"/>
      <c r="B99" s="1"/>
      <c r="C99" s="1"/>
      <c r="D99" s="1" t="s">
        <v>44</v>
      </c>
      <c r="E99" s="13">
        <f>NPV(E91,F97:J97)+E97</f>
        <v>0</v>
      </c>
      <c r="F99" s="45" t="s">
        <v>69</v>
      </c>
      <c r="G99" s="1" t="s">
        <v>58</v>
      </c>
      <c r="H99" s="1"/>
      <c r="I99" s="1"/>
      <c r="J99" s="1"/>
    </row>
    <row r="101" spans="1:17" x14ac:dyDescent="0.3">
      <c r="A101" s="6">
        <v>7.22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47" t="s">
        <v>38</v>
      </c>
      <c r="B103" s="48">
        <v>0</v>
      </c>
      <c r="C103" s="48">
        <v>1</v>
      </c>
      <c r="D103" s="48">
        <v>2</v>
      </c>
      <c r="E103" s="48">
        <v>3</v>
      </c>
      <c r="F103" s="48">
        <v>4</v>
      </c>
      <c r="G103" s="48">
        <v>5</v>
      </c>
      <c r="H103" s="48">
        <v>6</v>
      </c>
      <c r="I103" s="48">
        <v>7</v>
      </c>
      <c r="J103" s="48">
        <v>8</v>
      </c>
      <c r="K103" s="48">
        <v>9</v>
      </c>
      <c r="L103" s="48">
        <v>10</v>
      </c>
      <c r="M103" s="48">
        <v>11</v>
      </c>
      <c r="N103" s="48">
        <v>12</v>
      </c>
      <c r="O103" s="48">
        <v>13</v>
      </c>
      <c r="P103" s="48">
        <v>14</v>
      </c>
      <c r="Q103" s="49">
        <v>15</v>
      </c>
    </row>
    <row r="104" spans="1:17" x14ac:dyDescent="0.3">
      <c r="A104" s="50"/>
      <c r="B104" s="51">
        <v>-950000</v>
      </c>
      <c r="C104" s="51">
        <v>0</v>
      </c>
      <c r="D104" s="51">
        <v>0</v>
      </c>
      <c r="E104" s="51">
        <v>0</v>
      </c>
      <c r="F104" s="51">
        <v>0</v>
      </c>
      <c r="G104" s="51">
        <v>0</v>
      </c>
      <c r="H104" s="51">
        <v>0</v>
      </c>
      <c r="I104" s="51">
        <v>0</v>
      </c>
      <c r="J104" s="51">
        <v>0</v>
      </c>
      <c r="K104" s="51">
        <v>0</v>
      </c>
      <c r="L104" s="51">
        <v>0</v>
      </c>
      <c r="M104" s="51">
        <v>450000</v>
      </c>
      <c r="N104" s="51">
        <f>M104+50000</f>
        <v>500000</v>
      </c>
      <c r="O104" s="51">
        <f t="shared" ref="O104:Q104" si="4">N104+50000</f>
        <v>550000</v>
      </c>
      <c r="P104" s="51">
        <f t="shared" si="4"/>
        <v>600000</v>
      </c>
      <c r="Q104" s="52">
        <f t="shared" si="4"/>
        <v>650000</v>
      </c>
    </row>
    <row r="105" spans="1:17" ht="17.2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7.25" thickBot="1" x14ac:dyDescent="0.35">
      <c r="A106" s="4" t="s">
        <v>1</v>
      </c>
      <c r="B106" s="44">
        <v>8.4508431658194105E-2</v>
      </c>
      <c r="C106" s="17" t="s">
        <v>58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 t="s">
        <v>70</v>
      </c>
      <c r="B107" s="43">
        <f>B104+NPV(B106,C104:Q104)</f>
        <v>1.3664714060723782E-5</v>
      </c>
      <c r="C107" s="45" t="s">
        <v>69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9" spans="1:17" x14ac:dyDescent="0.3">
      <c r="A109" s="6">
        <v>7.52</v>
      </c>
      <c r="B109" s="1"/>
      <c r="C109" s="1"/>
      <c r="D109" s="1"/>
      <c r="E109" s="1"/>
      <c r="F109" s="1"/>
      <c r="G109" s="1"/>
      <c r="H109" s="1"/>
      <c r="I109" s="1"/>
    </row>
    <row r="110" spans="1:17" x14ac:dyDescent="0.3">
      <c r="A110" s="1" t="s">
        <v>57</v>
      </c>
      <c r="B110" s="1">
        <v>6000</v>
      </c>
      <c r="C110" s="1"/>
      <c r="D110" s="1" t="s">
        <v>76</v>
      </c>
      <c r="E110" s="1"/>
      <c r="F110" s="1"/>
      <c r="G110" s="1"/>
      <c r="H110" s="1"/>
      <c r="I110" s="1"/>
    </row>
    <row r="111" spans="1:17" x14ac:dyDescent="0.3">
      <c r="A111" s="1" t="s">
        <v>71</v>
      </c>
      <c r="B111" s="1">
        <v>4</v>
      </c>
      <c r="C111" s="45" t="s">
        <v>79</v>
      </c>
      <c r="D111" s="1"/>
      <c r="E111" s="1"/>
      <c r="F111" s="1"/>
      <c r="G111" s="1"/>
      <c r="H111" s="1"/>
      <c r="I111" s="1"/>
    </row>
    <row r="112" spans="1:17" x14ac:dyDescent="0.3">
      <c r="A112" s="1" t="s">
        <v>72</v>
      </c>
      <c r="B112" s="1">
        <v>10000</v>
      </c>
      <c r="C112" s="1"/>
      <c r="D112" s="1"/>
      <c r="E112" s="1"/>
      <c r="F112" s="1"/>
      <c r="G112" s="1"/>
      <c r="H112" s="1"/>
      <c r="I112" s="1"/>
    </row>
    <row r="113" spans="1:9" x14ac:dyDescent="0.3">
      <c r="A113" s="1" t="s">
        <v>55</v>
      </c>
      <c r="B113" s="2">
        <v>0.08</v>
      </c>
      <c r="C113" s="1"/>
      <c r="D113" s="1"/>
      <c r="E113" s="1"/>
      <c r="F113" s="1"/>
      <c r="G113" s="1"/>
      <c r="H113" s="1"/>
      <c r="I113" s="1"/>
    </row>
    <row r="114" spans="1:9" x14ac:dyDescent="0.3">
      <c r="A114" s="1" t="s">
        <v>77</v>
      </c>
      <c r="B114" s="1">
        <f>B112*B113/B111</f>
        <v>200</v>
      </c>
      <c r="C114" s="1" t="s">
        <v>78</v>
      </c>
      <c r="D114" s="1"/>
      <c r="E114" s="1"/>
      <c r="F114" s="1"/>
      <c r="G114" s="1"/>
      <c r="H114" s="1"/>
      <c r="I114" s="1"/>
    </row>
    <row r="115" spans="1:9" x14ac:dyDescent="0.3">
      <c r="A115" s="1" t="s">
        <v>37</v>
      </c>
      <c r="B115" s="1">
        <v>20</v>
      </c>
      <c r="C115" s="1" t="s">
        <v>38</v>
      </c>
      <c r="D115" s="1"/>
      <c r="E115" s="1"/>
      <c r="F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 t="s">
        <v>73</v>
      </c>
      <c r="B117" s="1">
        <v>11500</v>
      </c>
      <c r="C117" s="1"/>
      <c r="D117" s="1"/>
      <c r="E117" s="1"/>
      <c r="F117" s="1"/>
      <c r="G117" s="1"/>
      <c r="H117" s="1"/>
      <c r="I117" s="1"/>
    </row>
    <row r="118" spans="1:9" ht="17.25" thickBot="1" x14ac:dyDescent="0.35">
      <c r="A118" s="1"/>
      <c r="B118" s="1"/>
      <c r="C118" s="1"/>
      <c r="D118" s="1" t="s">
        <v>80</v>
      </c>
      <c r="E118" s="1" t="s">
        <v>81</v>
      </c>
      <c r="F118" s="1" t="s">
        <v>82</v>
      </c>
      <c r="G118" s="1" t="s">
        <v>70</v>
      </c>
      <c r="H118" s="1"/>
      <c r="I118" s="1"/>
    </row>
    <row r="119" spans="1:9" x14ac:dyDescent="0.3">
      <c r="A119" s="9" t="s">
        <v>74</v>
      </c>
      <c r="B119" s="53">
        <v>8.1273522840790063E-2</v>
      </c>
      <c r="C119" s="10" t="s">
        <v>7</v>
      </c>
      <c r="D119" s="19">
        <f>-6000</f>
        <v>-6000</v>
      </c>
      <c r="E119" s="19">
        <f>-PV(B119,B111*3,,B117)</f>
        <v>4502.6793211794447</v>
      </c>
      <c r="F119" s="19">
        <f>-PV(B119,B111*3,B114)</f>
        <v>1497.3207668516309</v>
      </c>
      <c r="G119" s="19">
        <f>SUM(D119:F119)</f>
        <v>8.8031075620165211E-5</v>
      </c>
      <c r="H119" s="1" t="s">
        <v>58</v>
      </c>
      <c r="I119" s="1"/>
    </row>
    <row r="120" spans="1:9" ht="17.25" thickBot="1" x14ac:dyDescent="0.35">
      <c r="A120" s="25" t="s">
        <v>75</v>
      </c>
      <c r="B120" s="54">
        <f>B119*4</f>
        <v>0.32509409136316025</v>
      </c>
      <c r="C120" s="55" t="s">
        <v>8</v>
      </c>
      <c r="D120" s="1"/>
      <c r="E120" s="1"/>
      <c r="F120" s="1"/>
      <c r="G120" s="1"/>
      <c r="H120" s="1"/>
      <c r="I120" s="1"/>
    </row>
    <row r="122" spans="1:9" ht="17.25" thickBot="1" x14ac:dyDescent="0.35">
      <c r="A122" s="6">
        <v>7.71</v>
      </c>
      <c r="B122" s="1"/>
      <c r="C122" s="1"/>
      <c r="D122" s="1"/>
      <c r="E122" s="1"/>
      <c r="F122" s="1"/>
      <c r="G122" s="1"/>
      <c r="H122" s="1"/>
    </row>
    <row r="123" spans="1:9" x14ac:dyDescent="0.3">
      <c r="A123" s="9" t="s">
        <v>83</v>
      </c>
      <c r="B123" s="10">
        <v>-50000</v>
      </c>
      <c r="C123" s="1" t="s">
        <v>90</v>
      </c>
      <c r="D123" s="1"/>
      <c r="E123" s="1"/>
      <c r="F123" s="1"/>
      <c r="G123" s="1"/>
      <c r="H123" s="1"/>
    </row>
    <row r="124" spans="1:9" x14ac:dyDescent="0.3">
      <c r="A124" s="11" t="s">
        <v>84</v>
      </c>
      <c r="B124" s="12">
        <v>5000</v>
      </c>
      <c r="C124" s="1" t="s">
        <v>26</v>
      </c>
      <c r="D124" s="1" t="s">
        <v>91</v>
      </c>
      <c r="E124" s="1"/>
      <c r="F124" s="1"/>
      <c r="G124" s="1"/>
      <c r="H124" s="1"/>
    </row>
    <row r="125" spans="1:9" x14ac:dyDescent="0.3">
      <c r="A125" s="11" t="s">
        <v>85</v>
      </c>
      <c r="B125" s="12">
        <v>7500</v>
      </c>
      <c r="C125" s="1" t="s">
        <v>26</v>
      </c>
      <c r="D125" s="1" t="s">
        <v>92</v>
      </c>
      <c r="E125" s="1"/>
      <c r="F125" s="1"/>
      <c r="G125" s="1"/>
      <c r="H125" s="1"/>
    </row>
    <row r="126" spans="1:9" x14ac:dyDescent="0.3">
      <c r="A126" s="11" t="s">
        <v>86</v>
      </c>
      <c r="B126" s="12">
        <f>B125-B124</f>
        <v>2500</v>
      </c>
      <c r="C126" s="1" t="s">
        <v>26</v>
      </c>
      <c r="D126" s="1" t="s">
        <v>93</v>
      </c>
      <c r="E126" s="1"/>
      <c r="F126" s="1"/>
      <c r="G126" s="1"/>
      <c r="H126" s="1"/>
    </row>
    <row r="127" spans="1:9" ht="17.25" thickBot="1" x14ac:dyDescent="0.35">
      <c r="A127" s="25" t="s">
        <v>16</v>
      </c>
      <c r="B127" s="55">
        <v>11000</v>
      </c>
      <c r="C127" s="1"/>
      <c r="D127" s="1"/>
      <c r="E127" s="1"/>
      <c r="F127" s="1"/>
      <c r="G127" s="1"/>
      <c r="H127" s="1"/>
    </row>
    <row r="128" spans="1:9" ht="17.25" thickBot="1" x14ac:dyDescent="0.35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9" t="s">
        <v>1</v>
      </c>
      <c r="B129" s="10"/>
      <c r="C129" s="9" t="s">
        <v>87</v>
      </c>
      <c r="D129" s="57" t="s">
        <v>88</v>
      </c>
      <c r="E129" s="57" t="s">
        <v>89</v>
      </c>
      <c r="F129" s="57" t="s">
        <v>70</v>
      </c>
      <c r="G129" s="10"/>
      <c r="H129" s="1"/>
    </row>
    <row r="130" spans="1:8" ht="17.25" thickBot="1" x14ac:dyDescent="0.35">
      <c r="A130" s="56">
        <v>2.6262028077465093E-2</v>
      </c>
      <c r="B130" s="55" t="s">
        <v>26</v>
      </c>
      <c r="C130" s="58">
        <f>-FV(A130,24,,B123)</f>
        <v>-93146.866445433654</v>
      </c>
      <c r="D130" s="59">
        <f>-FV(A130,24,B126)</f>
        <v>82146.866795975075</v>
      </c>
      <c r="E130" s="60">
        <f>B127</f>
        <v>11000</v>
      </c>
      <c r="F130" s="59">
        <f>SUM(C130:E130)</f>
        <v>3.5054142063017935E-4</v>
      </c>
      <c r="G130" s="55" t="s">
        <v>58</v>
      </c>
      <c r="H130" s="1"/>
    </row>
    <row r="131" spans="1:8" ht="17.25" thickBot="1" x14ac:dyDescent="0.35">
      <c r="A131" s="1"/>
      <c r="B131" s="1"/>
      <c r="C131" s="1"/>
      <c r="D131" s="1"/>
      <c r="E131" s="1"/>
      <c r="F131" s="1"/>
      <c r="G131" s="1"/>
      <c r="H131" s="1"/>
    </row>
    <row r="132" spans="1:8" ht="17.25" thickBot="1" x14ac:dyDescent="0.35">
      <c r="A132" s="4" t="s">
        <v>22</v>
      </c>
      <c r="B132" s="17" t="s">
        <v>94</v>
      </c>
      <c r="C132" s="1"/>
      <c r="D132" s="1"/>
      <c r="E132" s="1"/>
      <c r="F132" s="1"/>
      <c r="G132" s="1"/>
      <c r="H1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ITISYIJY</dc:creator>
  <cp:lastModifiedBy>ITISYIJY</cp:lastModifiedBy>
  <dcterms:created xsi:type="dcterms:W3CDTF">2022-04-04T12:27:51Z</dcterms:created>
  <dcterms:modified xsi:type="dcterms:W3CDTF">2022-04-13T06:31:41Z</dcterms:modified>
</cp:coreProperties>
</file>