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020\내 드라이브\2022 1학기\Engineering Economy\Assignments\"/>
    </mc:Choice>
  </mc:AlternateContent>
  <xr:revisionPtr revIDLastSave="0" documentId="13_ncr:1_{ECC29F4F-C95F-4DD8-B838-E3923F32F0B4}" xr6:coauthVersionLast="47" xr6:coauthVersionMax="47" xr10:uidLastSave="{00000000-0000-0000-0000-000000000000}"/>
  <bookViews>
    <workbookView xWindow="14415" yWindow="4245" windowWidth="13965" windowHeight="11235" firstSheet="7" activeTab="10" xr2:uid="{7E6A2668-4913-4CFA-8A98-8247A4B9EE48}"/>
  </bookViews>
  <sheets>
    <sheet name="Chapter 1" sheetId="1" r:id="rId1"/>
    <sheet name="Chapter 2" sheetId="2" r:id="rId2"/>
    <sheet name="Chapter 3" sheetId="3" r:id="rId3"/>
    <sheet name="Chapter 4" sheetId="4" r:id="rId4"/>
    <sheet name="Chapter 5" sheetId="5" r:id="rId5"/>
    <sheet name="Chapter6" sheetId="6" r:id="rId6"/>
    <sheet name="Chapter 7" sheetId="7" r:id="rId7"/>
    <sheet name="Chapter 8" sheetId="8" r:id="rId8"/>
    <sheet name="Chapter 9" sheetId="9" r:id="rId9"/>
    <sheet name="Chapter 14" sheetId="10" r:id="rId10"/>
    <sheet name="Chapter 17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1" i="11" l="1"/>
  <c r="J115" i="11"/>
  <c r="I117" i="11"/>
  <c r="J117" i="11" s="1"/>
  <c r="I120" i="11"/>
  <c r="J120" i="11" s="1"/>
  <c r="I121" i="11"/>
  <c r="H117" i="11"/>
  <c r="H118" i="11"/>
  <c r="I118" i="11" s="1"/>
  <c r="J118" i="11" s="1"/>
  <c r="H119" i="11"/>
  <c r="I119" i="11" s="1"/>
  <c r="J119" i="11" s="1"/>
  <c r="H120" i="11"/>
  <c r="H121" i="11"/>
  <c r="H116" i="11"/>
  <c r="I116" i="11" s="1"/>
  <c r="J116" i="11" s="1"/>
  <c r="G117" i="11"/>
  <c r="G118" i="11" s="1"/>
  <c r="G119" i="11" s="1"/>
  <c r="G120" i="11" s="1"/>
  <c r="G121" i="11" s="1"/>
  <c r="G116" i="11"/>
  <c r="G115" i="11"/>
  <c r="E117" i="11"/>
  <c r="E118" i="11"/>
  <c r="E119" i="11"/>
  <c r="E120" i="11"/>
  <c r="E121" i="11"/>
  <c r="E116" i="11"/>
  <c r="E115" i="11"/>
  <c r="C117" i="11"/>
  <c r="C118" i="11"/>
  <c r="C119" i="11"/>
  <c r="C120" i="11"/>
  <c r="C121" i="11"/>
  <c r="C116" i="11"/>
  <c r="B117" i="11"/>
  <c r="B118" i="11"/>
  <c r="B119" i="11"/>
  <c r="B120" i="11"/>
  <c r="B121" i="11"/>
  <c r="B116" i="11"/>
  <c r="K104" i="11"/>
  <c r="K105" i="11"/>
  <c r="K106" i="11"/>
  <c r="K107" i="11"/>
  <c r="K108" i="11"/>
  <c r="K109" i="11"/>
  <c r="K110" i="11"/>
  <c r="K103" i="11"/>
  <c r="K102" i="11"/>
  <c r="J104" i="11"/>
  <c r="J105" i="11"/>
  <c r="J106" i="11"/>
  <c r="J107" i="11"/>
  <c r="J108" i="11"/>
  <c r="J109" i="11"/>
  <c r="J110" i="11"/>
  <c r="J103" i="11"/>
  <c r="I104" i="11"/>
  <c r="I105" i="11"/>
  <c r="I106" i="11"/>
  <c r="I107" i="11"/>
  <c r="I108" i="11"/>
  <c r="I109" i="11"/>
  <c r="I110" i="11"/>
  <c r="I103" i="11"/>
  <c r="H104" i="11"/>
  <c r="H105" i="11"/>
  <c r="H106" i="11"/>
  <c r="H107" i="11"/>
  <c r="H108" i="11"/>
  <c r="H109" i="11"/>
  <c r="H110" i="11"/>
  <c r="H103" i="11"/>
  <c r="G104" i="11"/>
  <c r="G105" i="11"/>
  <c r="G106" i="11"/>
  <c r="G107" i="11"/>
  <c r="G108" i="11"/>
  <c r="G109" i="11"/>
  <c r="G110" i="11"/>
  <c r="G103" i="11"/>
  <c r="F104" i="11"/>
  <c r="F105" i="11" s="1"/>
  <c r="F106" i="11" s="1"/>
  <c r="F107" i="11" s="1"/>
  <c r="F108" i="11" s="1"/>
  <c r="F109" i="11" s="1"/>
  <c r="F110" i="11" s="1"/>
  <c r="F103" i="11"/>
  <c r="F102" i="11"/>
  <c r="E104" i="11"/>
  <c r="E105" i="11"/>
  <c r="E106" i="11"/>
  <c r="E107" i="11"/>
  <c r="E103" i="11"/>
  <c r="D104" i="11"/>
  <c r="D105" i="11"/>
  <c r="D106" i="11"/>
  <c r="D107" i="11"/>
  <c r="D108" i="11"/>
  <c r="D109" i="11"/>
  <c r="D110" i="11"/>
  <c r="D103" i="11"/>
  <c r="D102" i="11"/>
  <c r="B104" i="11"/>
  <c r="B105" i="11" s="1"/>
  <c r="B106" i="11" s="1"/>
  <c r="B107" i="11" s="1"/>
  <c r="B108" i="11" s="1"/>
  <c r="B109" i="11" s="1"/>
  <c r="B110" i="11" s="1"/>
  <c r="K91" i="11"/>
  <c r="K92" i="11"/>
  <c r="K93" i="11"/>
  <c r="K94" i="11"/>
  <c r="K95" i="11"/>
  <c r="K96" i="11"/>
  <c r="K97" i="11"/>
  <c r="K98" i="11"/>
  <c r="K90" i="11"/>
  <c r="J92" i="11"/>
  <c r="J93" i="11"/>
  <c r="J94" i="11"/>
  <c r="J95" i="11"/>
  <c r="J96" i="11"/>
  <c r="J97" i="11"/>
  <c r="J98" i="11"/>
  <c r="J91" i="11"/>
  <c r="I92" i="11"/>
  <c r="I93" i="11"/>
  <c r="I94" i="11"/>
  <c r="I95" i="11"/>
  <c r="I96" i="11"/>
  <c r="I97" i="11"/>
  <c r="I98" i="11"/>
  <c r="I91" i="11"/>
  <c r="H92" i="11"/>
  <c r="H93" i="11"/>
  <c r="H94" i="11"/>
  <c r="H95" i="11"/>
  <c r="H96" i="11"/>
  <c r="H97" i="11"/>
  <c r="H98" i="11"/>
  <c r="H91" i="11"/>
  <c r="G92" i="11"/>
  <c r="G93" i="11"/>
  <c r="G94" i="11"/>
  <c r="G95" i="11"/>
  <c r="G96" i="11"/>
  <c r="G97" i="11"/>
  <c r="G98" i="11"/>
  <c r="G91" i="11"/>
  <c r="F92" i="11"/>
  <c r="F93" i="11" s="1"/>
  <c r="F94" i="11" s="1"/>
  <c r="F95" i="11" s="1"/>
  <c r="F96" i="11" s="1"/>
  <c r="F97" i="11" s="1"/>
  <c r="F98" i="11" s="1"/>
  <c r="F91" i="11"/>
  <c r="F90" i="11"/>
  <c r="E92" i="11"/>
  <c r="E93" i="11"/>
  <c r="E94" i="11"/>
  <c r="E95" i="11"/>
  <c r="E96" i="11"/>
  <c r="E97" i="11"/>
  <c r="E98" i="11"/>
  <c r="E91" i="11"/>
  <c r="D92" i="11"/>
  <c r="D93" i="11"/>
  <c r="D94" i="11"/>
  <c r="D95" i="11"/>
  <c r="D96" i="11"/>
  <c r="D97" i="11"/>
  <c r="D98" i="11"/>
  <c r="D91" i="11"/>
  <c r="D90" i="11"/>
  <c r="B93" i="11"/>
  <c r="B94" i="11" s="1"/>
  <c r="B95" i="11" s="1"/>
  <c r="B96" i="11" s="1"/>
  <c r="B97" i="11" s="1"/>
  <c r="B98" i="11" s="1"/>
  <c r="B92" i="11"/>
  <c r="J122" i="11" l="1"/>
  <c r="J124" i="11" s="1"/>
  <c r="J123" i="11" l="1"/>
  <c r="E50" i="11" l="1"/>
  <c r="E48" i="11"/>
  <c r="E49" i="11"/>
  <c r="J85" i="11"/>
  <c r="J74" i="11"/>
  <c r="J84" i="11"/>
  <c r="J73" i="11"/>
  <c r="H80" i="11"/>
  <c r="I80" i="11" s="1"/>
  <c r="H81" i="11"/>
  <c r="I81" i="11" s="1"/>
  <c r="J81" i="11" s="1"/>
  <c r="F82" i="11"/>
  <c r="H82" i="11" s="1"/>
  <c r="I82" i="11" s="1"/>
  <c r="J82" i="11" s="1"/>
  <c r="F83" i="11"/>
  <c r="H83" i="11" s="1"/>
  <c r="I83" i="11" s="1"/>
  <c r="J83" i="11" s="1"/>
  <c r="F81" i="11"/>
  <c r="F80" i="11"/>
  <c r="F69" i="11"/>
  <c r="J69" i="11"/>
  <c r="F71" i="11"/>
  <c r="H71" i="11" s="1"/>
  <c r="I71" i="11" s="1"/>
  <c r="J71" i="11" s="1"/>
  <c r="F72" i="11"/>
  <c r="H72" i="11" s="1"/>
  <c r="I72" i="11" s="1"/>
  <c r="J72" i="11" s="1"/>
  <c r="F70" i="11"/>
  <c r="E45" i="11"/>
  <c r="I45" i="11" s="1"/>
  <c r="F64" i="11"/>
  <c r="E64" i="11"/>
  <c r="B61" i="11"/>
  <c r="B59" i="11"/>
  <c r="B55" i="11"/>
  <c r="B53" i="11"/>
  <c r="F47" i="11"/>
  <c r="F48" i="11"/>
  <c r="F49" i="11"/>
  <c r="G49" i="11" s="1"/>
  <c r="H49" i="11" s="1"/>
  <c r="I49" i="11" s="1"/>
  <c r="B54" i="11" s="1"/>
  <c r="F50" i="11"/>
  <c r="F46" i="11"/>
  <c r="E46" i="11"/>
  <c r="E47" i="11"/>
  <c r="G47" i="11" s="1"/>
  <c r="H47" i="11" s="1"/>
  <c r="I47" i="11" s="1"/>
  <c r="G48" i="11"/>
  <c r="H48" i="11" s="1"/>
  <c r="I48" i="11" s="1"/>
  <c r="H34" i="11"/>
  <c r="D36" i="11"/>
  <c r="F36" i="11" s="1"/>
  <c r="G36" i="11" s="1"/>
  <c r="H36" i="11" s="1"/>
  <c r="D37" i="11"/>
  <c r="F37" i="11" s="1"/>
  <c r="G37" i="11" s="1"/>
  <c r="H37" i="11" s="1"/>
  <c r="D38" i="11"/>
  <c r="F38" i="11" s="1"/>
  <c r="G38" i="11" s="1"/>
  <c r="H38" i="11" s="1"/>
  <c r="D35" i="11"/>
  <c r="F35" i="11" s="1"/>
  <c r="G35" i="11" s="1"/>
  <c r="H35" i="11" s="1"/>
  <c r="E34" i="11"/>
  <c r="E35" i="11" s="1"/>
  <c r="M6" i="11"/>
  <c r="O6" i="11" s="1"/>
  <c r="P6" i="11" s="1"/>
  <c r="Q6" i="11" s="1"/>
  <c r="M7" i="11"/>
  <c r="O7" i="11" s="1"/>
  <c r="P7" i="11" s="1"/>
  <c r="Q7" i="11" s="1"/>
  <c r="M8" i="11"/>
  <c r="O8" i="11" s="1"/>
  <c r="P8" i="11" s="1"/>
  <c r="Q8" i="11" s="1"/>
  <c r="M9" i="11"/>
  <c r="M10" i="11"/>
  <c r="O10" i="11" s="1"/>
  <c r="P10" i="11" s="1"/>
  <c r="Q10" i="11" s="1"/>
  <c r="M11" i="11"/>
  <c r="O11" i="11" s="1"/>
  <c r="P11" i="11" s="1"/>
  <c r="Q11" i="11" s="1"/>
  <c r="M12" i="11"/>
  <c r="O12" i="11" s="1"/>
  <c r="P12" i="11" s="1"/>
  <c r="Q12" i="11" s="1"/>
  <c r="M5" i="11"/>
  <c r="O5" i="11" s="1"/>
  <c r="P5" i="11" s="1"/>
  <c r="O9" i="11"/>
  <c r="P9" i="11" s="1"/>
  <c r="Q9" i="11" s="1"/>
  <c r="Q4" i="11"/>
  <c r="L4" i="11"/>
  <c r="N4" i="11" s="1"/>
  <c r="N5" i="11" s="1"/>
  <c r="N6" i="11" s="1"/>
  <c r="F11" i="11"/>
  <c r="F12" i="11"/>
  <c r="D6" i="11"/>
  <c r="F6" i="11" s="1"/>
  <c r="D7" i="11"/>
  <c r="F7" i="11" s="1"/>
  <c r="D8" i="11"/>
  <c r="F8" i="11" s="1"/>
  <c r="D9" i="11"/>
  <c r="F9" i="11" s="1"/>
  <c r="D10" i="11"/>
  <c r="F10" i="11" s="1"/>
  <c r="D5" i="11"/>
  <c r="E5" i="11" s="1"/>
  <c r="E6" i="11" s="1"/>
  <c r="E7" i="11" s="1"/>
  <c r="E8" i="11" s="1"/>
  <c r="E9" i="11" s="1"/>
  <c r="E10" i="11" s="1"/>
  <c r="E11" i="11" s="1"/>
  <c r="E12" i="11" s="1"/>
  <c r="G50" i="11" l="1"/>
  <c r="H50" i="11" s="1"/>
  <c r="I50" i="11" s="1"/>
  <c r="I51" i="11" s="1"/>
  <c r="I52" i="11" s="1"/>
  <c r="G46" i="11"/>
  <c r="H46" i="11" s="1"/>
  <c r="I46" i="11" s="1"/>
  <c r="N7" i="11"/>
  <c r="N8" i="11" s="1"/>
  <c r="N9" i="11" s="1"/>
  <c r="N10" i="11" s="1"/>
  <c r="N11" i="11" s="1"/>
  <c r="N12" i="11" s="1"/>
  <c r="P14" i="11"/>
  <c r="P13" i="11"/>
  <c r="J80" i="11"/>
  <c r="G64" i="11"/>
  <c r="H64" i="11" s="1"/>
  <c r="I64" i="11" s="1"/>
  <c r="B60" i="11" s="1"/>
  <c r="B62" i="11" s="1"/>
  <c r="H70" i="11"/>
  <c r="I70" i="11" s="1"/>
  <c r="J70" i="11" s="1"/>
  <c r="B56" i="11"/>
  <c r="E36" i="11"/>
  <c r="E37" i="11" s="1"/>
  <c r="H39" i="11"/>
  <c r="E38" i="11"/>
  <c r="F5" i="11"/>
  <c r="Q5" i="11"/>
  <c r="G11" i="11" l="1"/>
  <c r="H11" i="11" s="1"/>
  <c r="G12" i="11"/>
  <c r="H12" i="11" s="1"/>
  <c r="H4" i="11"/>
  <c r="C4" i="11"/>
  <c r="G6" i="11"/>
  <c r="H6" i="11" s="1"/>
  <c r="G7" i="11"/>
  <c r="H7" i="11" s="1"/>
  <c r="G8" i="11"/>
  <c r="H8" i="11" s="1"/>
  <c r="G9" i="11"/>
  <c r="H9" i="11" s="1"/>
  <c r="G10" i="11"/>
  <c r="H10" i="11" s="1"/>
  <c r="G5" i="11"/>
  <c r="H5" i="11" l="1"/>
  <c r="G14" i="11"/>
  <c r="G13" i="11"/>
  <c r="E56" i="10"/>
  <c r="E57" i="10" s="1"/>
  <c r="C48" i="10"/>
  <c r="B50" i="10"/>
  <c r="B49" i="10"/>
  <c r="B48" i="10"/>
  <c r="G49" i="10"/>
  <c r="F49" i="10"/>
  <c r="C49" i="10"/>
  <c r="B42" i="10"/>
  <c r="F48" i="10" s="1"/>
  <c r="E35" i="10"/>
  <c r="E37" i="10" s="1"/>
  <c r="B35" i="10"/>
  <c r="B21" i="10"/>
  <c r="C21" i="10"/>
  <c r="C20" i="10"/>
  <c r="C22" i="10" s="1"/>
  <c r="B20" i="10"/>
  <c r="B22" i="10" s="1"/>
  <c r="C12" i="10"/>
  <c r="C11" i="10"/>
  <c r="B11" i="10"/>
  <c r="B12" i="10"/>
  <c r="B4" i="10"/>
  <c r="G12" i="10" s="1"/>
  <c r="C23" i="10" l="1"/>
  <c r="C51" i="10"/>
  <c r="C24" i="10"/>
  <c r="F50" i="10"/>
  <c r="F51" i="10" s="1"/>
  <c r="G48" i="10"/>
  <c r="G51" i="10" s="1"/>
  <c r="B51" i="10"/>
  <c r="B23" i="10"/>
  <c r="B24" i="10" s="1"/>
  <c r="B25" i="10" s="1"/>
  <c r="C13" i="10"/>
  <c r="B13" i="10"/>
  <c r="F11" i="10"/>
  <c r="G11" i="10"/>
  <c r="G13" i="10" s="1"/>
  <c r="F12" i="10"/>
  <c r="G62" i="9"/>
  <c r="G61" i="9"/>
  <c r="G60" i="9"/>
  <c r="G56" i="9"/>
  <c r="G55" i="9"/>
  <c r="G54" i="9"/>
  <c r="G50" i="9"/>
  <c r="G49" i="9"/>
  <c r="G48" i="9"/>
  <c r="C53" i="9"/>
  <c r="D53" i="9"/>
  <c r="E53" i="9"/>
  <c r="B53" i="9"/>
  <c r="C52" i="9"/>
  <c r="C49" i="9"/>
  <c r="D49" i="9"/>
  <c r="D52" i="9" s="1"/>
  <c r="E49" i="9"/>
  <c r="E52" i="9" s="1"/>
  <c r="B49" i="9"/>
  <c r="B52" i="9" s="1"/>
  <c r="G39" i="9"/>
  <c r="F39" i="9"/>
  <c r="H38" i="9"/>
  <c r="G38" i="9"/>
  <c r="F38" i="9"/>
  <c r="B29" i="9"/>
  <c r="G21" i="9" s="1"/>
  <c r="B32" i="9"/>
  <c r="B20" i="9"/>
  <c r="B31" i="9" s="1"/>
  <c r="G20" i="9" s="1"/>
  <c r="B6" i="9"/>
  <c r="A16" i="9" s="1"/>
  <c r="F13" i="10" l="1"/>
  <c r="G22" i="9"/>
  <c r="F42" i="9"/>
  <c r="G42" i="9"/>
  <c r="B33" i="9"/>
  <c r="B34" i="9" s="1"/>
  <c r="A11" i="9"/>
  <c r="F44" i="9" l="1"/>
  <c r="C2" i="4"/>
  <c r="C3" i="4" s="1"/>
  <c r="C6" i="4"/>
  <c r="F53" i="3" l="1"/>
  <c r="A58" i="3" s="1"/>
  <c r="D47" i="3"/>
  <c r="D46" i="3"/>
  <c r="C47" i="3"/>
  <c r="C46" i="3"/>
  <c r="B48" i="3"/>
  <c r="B47" i="3"/>
  <c r="B46" i="3"/>
  <c r="D43" i="3" l="1"/>
  <c r="C33" i="3"/>
  <c r="D32" i="3"/>
  <c r="E32" i="3" s="1"/>
  <c r="F32" i="3" s="1"/>
  <c r="G32" i="3" s="1"/>
  <c r="D31" i="3"/>
  <c r="E31" i="3" s="1"/>
  <c r="B27" i="3"/>
  <c r="H21" i="3"/>
  <c r="I16" i="3"/>
  <c r="I17" i="3" s="1"/>
  <c r="I15" i="3"/>
  <c r="I14" i="3"/>
  <c r="I13" i="3"/>
  <c r="A97" i="2"/>
  <c r="F4" i="3"/>
  <c r="I5" i="3"/>
  <c r="J5" i="3"/>
  <c r="K5" i="3"/>
  <c r="H5" i="3"/>
  <c r="F6" i="3" s="1"/>
  <c r="G3" i="3"/>
  <c r="H3" i="3"/>
  <c r="I3" i="3"/>
  <c r="J3" i="3"/>
  <c r="K3" i="3"/>
  <c r="E111" i="2"/>
  <c r="E109" i="2"/>
  <c r="E107" i="2"/>
  <c r="D111" i="2"/>
  <c r="D109" i="2"/>
  <c r="D107" i="2"/>
  <c r="F31" i="3" l="1"/>
  <c r="E33" i="3"/>
  <c r="B9" i="3"/>
  <c r="D33" i="3"/>
  <c r="E21" i="3"/>
  <c r="J21" i="3"/>
  <c r="F21" i="3"/>
  <c r="I21" i="3"/>
  <c r="D21" i="3"/>
  <c r="G21" i="3"/>
  <c r="B111" i="2"/>
  <c r="B109" i="2"/>
  <c r="B107" i="2"/>
  <c r="B91" i="2"/>
  <c r="A85" i="2"/>
  <c r="A87" i="2" s="1"/>
  <c r="E81" i="2"/>
  <c r="F81" i="2" s="1"/>
  <c r="G81" i="2" s="1"/>
  <c r="D81" i="2"/>
  <c r="B77" i="2"/>
  <c r="B76" i="2"/>
  <c r="B75" i="2"/>
  <c r="D74" i="2"/>
  <c r="E74" i="2"/>
  <c r="F74" i="2"/>
  <c r="G74" i="2"/>
  <c r="C74" i="2"/>
  <c r="E73" i="2"/>
  <c r="F73" i="2" s="1"/>
  <c r="G73" i="2" s="1"/>
  <c r="D73" i="2"/>
  <c r="F60" i="2"/>
  <c r="D64" i="2"/>
  <c r="G58" i="2"/>
  <c r="H58" i="2" s="1"/>
  <c r="A48" i="2"/>
  <c r="A54" i="2" s="1"/>
  <c r="B36" i="3" l="1"/>
  <c r="B37" i="3" s="1"/>
  <c r="G31" i="3"/>
  <c r="G33" i="3" s="1"/>
  <c r="F33" i="3"/>
  <c r="B24" i="3"/>
  <c r="B25" i="3" s="1"/>
  <c r="I58" i="2"/>
  <c r="J58" i="2" s="1"/>
  <c r="A44" i="2"/>
  <c r="A32" i="2"/>
  <c r="A22" i="2"/>
  <c r="A13" i="2"/>
  <c r="A12" i="2"/>
  <c r="A9" i="2"/>
  <c r="A68" i="1"/>
  <c r="B65" i="1"/>
  <c r="B61" i="1"/>
  <c r="C59" i="1"/>
  <c r="A59" i="1"/>
  <c r="C57" i="1"/>
  <c r="A57" i="1"/>
  <c r="A53" i="1"/>
  <c r="A52" i="1"/>
  <c r="A48" i="1"/>
  <c r="B31" i="1"/>
  <c r="C30" i="1"/>
  <c r="A30" i="1"/>
  <c r="G20" i="1"/>
  <c r="D20" i="1"/>
  <c r="D18" i="1"/>
  <c r="B14" i="1"/>
  <c r="B6" i="1"/>
  <c r="E60" i="2" l="1"/>
  <c r="E61" i="2" s="1"/>
</calcChain>
</file>

<file path=xl/sharedStrings.xml><?xml version="1.0" encoding="utf-8"?>
<sst xmlns="http://schemas.openxmlformats.org/spreadsheetml/2006/main" count="431" uniqueCount="171">
  <si>
    <t>Year</t>
    <phoneticPr fontId="2" type="noConversion"/>
  </si>
  <si>
    <t>CF</t>
    <phoneticPr fontId="2" type="noConversion"/>
  </si>
  <si>
    <t>i</t>
    <phoneticPr fontId="2" type="noConversion"/>
  </si>
  <si>
    <t>P</t>
    <phoneticPr fontId="2" type="noConversion"/>
  </si>
  <si>
    <t>A</t>
    <phoneticPr fontId="2" type="noConversion"/>
  </si>
  <si>
    <t>last year</t>
    <phoneticPr fontId="2" type="noConversion"/>
  </si>
  <si>
    <t>this year</t>
    <phoneticPr fontId="2" type="noConversion"/>
  </si>
  <si>
    <t>($4000 X)</t>
    <phoneticPr fontId="2" type="noConversion"/>
  </si>
  <si>
    <t>+$4000 from last year</t>
    <phoneticPr fontId="2" type="noConversion"/>
  </si>
  <si>
    <t>$ 1M unit</t>
    <phoneticPr fontId="2" type="noConversion"/>
  </si>
  <si>
    <t>Purchase 4 years ago</t>
    <phoneticPr fontId="2" type="noConversion"/>
  </si>
  <si>
    <t>n</t>
    <phoneticPr fontId="2" type="noConversion"/>
  </si>
  <si>
    <t>Present value</t>
    <phoneticPr fontId="2" type="noConversion"/>
  </si>
  <si>
    <t>simple</t>
    <phoneticPr fontId="2" type="noConversion"/>
  </si>
  <si>
    <t>compound</t>
    <phoneticPr fontId="2" type="noConversion"/>
  </si>
  <si>
    <t>Retained Earning</t>
    <phoneticPr fontId="2" type="noConversion"/>
  </si>
  <si>
    <t>Venture</t>
    <phoneticPr fontId="2" type="noConversion"/>
  </si>
  <si>
    <t>WACC</t>
    <phoneticPr fontId="2" type="noConversion"/>
  </si>
  <si>
    <t>per year</t>
    <phoneticPr fontId="2" type="noConversion"/>
  </si>
  <si>
    <t>1 year ago</t>
    <phoneticPr fontId="2" type="noConversion"/>
  </si>
  <si>
    <t>no</t>
    <phoneticPr fontId="2" type="noConversion"/>
  </si>
  <si>
    <t>Borrow</t>
    <phoneticPr fontId="2" type="noConversion"/>
  </si>
  <si>
    <t>Retained Earing</t>
    <phoneticPr fontId="2" type="noConversion"/>
  </si>
  <si>
    <t>ratio</t>
    <phoneticPr fontId="2" type="noConversion"/>
  </si>
  <si>
    <t>npv</t>
    <phoneticPr fontId="2" type="noConversion"/>
  </si>
  <si>
    <t>fv</t>
    <phoneticPr fontId="2" type="noConversion"/>
  </si>
  <si>
    <t>4 years ago</t>
    <phoneticPr fontId="2" type="noConversion"/>
  </si>
  <si>
    <t>now</t>
    <phoneticPr fontId="2" type="noConversion"/>
  </si>
  <si>
    <t>계약금</t>
    <phoneticPr fontId="2" type="noConversion"/>
  </si>
  <si>
    <t>비용</t>
    <phoneticPr fontId="2" type="noConversion"/>
  </si>
  <si>
    <t>marr</t>
    <phoneticPr fontId="2" type="noConversion"/>
  </si>
  <si>
    <t>Billion</t>
    <phoneticPr fontId="2" type="noConversion"/>
  </si>
  <si>
    <t>G</t>
    <phoneticPr fontId="2" type="noConversion"/>
  </si>
  <si>
    <t>Year 1</t>
    <phoneticPr fontId="2" type="noConversion"/>
  </si>
  <si>
    <t>YEAR</t>
    <phoneticPr fontId="2" type="noConversion"/>
  </si>
  <si>
    <t>bonus ratio</t>
    <phoneticPr fontId="2" type="noConversion"/>
  </si>
  <si>
    <t>1M unit</t>
    <phoneticPr fontId="2" type="noConversion"/>
  </si>
  <si>
    <t>Revenue</t>
    <phoneticPr fontId="2" type="noConversion"/>
  </si>
  <si>
    <t>Bonus</t>
    <phoneticPr fontId="2" type="noConversion"/>
  </si>
  <si>
    <t>a</t>
    <phoneticPr fontId="2" type="noConversion"/>
  </si>
  <si>
    <t>pmt</t>
    <phoneticPr fontId="2" type="noConversion"/>
  </si>
  <si>
    <t>year1</t>
    <phoneticPr fontId="2" type="noConversion"/>
  </si>
  <si>
    <t>RoR</t>
    <phoneticPr fontId="2" type="noConversion"/>
  </si>
  <si>
    <t>pv</t>
    <phoneticPr fontId="2" type="noConversion"/>
  </si>
  <si>
    <t>increasing (g)</t>
    <phoneticPr fontId="2" type="noConversion"/>
  </si>
  <si>
    <t>&lt;=</t>
    <phoneticPr fontId="2" type="noConversion"/>
  </si>
  <si>
    <t>budget</t>
    <phoneticPr fontId="2" type="noConversion"/>
  </si>
  <si>
    <t>V1</t>
    <phoneticPr fontId="2" type="noConversion"/>
  </si>
  <si>
    <t>V2</t>
    <phoneticPr fontId="2" type="noConversion"/>
  </si>
  <si>
    <t>V3</t>
    <phoneticPr fontId="2" type="noConversion"/>
  </si>
  <si>
    <t>Saving</t>
    <phoneticPr fontId="2" type="noConversion"/>
  </si>
  <si>
    <t>1M</t>
    <phoneticPr fontId="2" type="noConversion"/>
  </si>
  <si>
    <t>PW</t>
    <phoneticPr fontId="2" type="noConversion"/>
  </si>
  <si>
    <t>AW</t>
    <phoneticPr fontId="2" type="noConversion"/>
  </si>
  <si>
    <t>annual cost</t>
    <phoneticPr fontId="2" type="noConversion"/>
  </si>
  <si>
    <t>Robot arm</t>
    <phoneticPr fontId="2" type="noConversion"/>
  </si>
  <si>
    <t>Decreased cost</t>
    <phoneticPr fontId="2" type="noConversion"/>
  </si>
  <si>
    <t>year 1</t>
    <phoneticPr fontId="2" type="noConversion"/>
  </si>
  <si>
    <t>year 2-5</t>
    <phoneticPr fontId="2" type="noConversion"/>
  </si>
  <si>
    <t>Present Worth</t>
    <phoneticPr fontId="2" type="noConversion"/>
  </si>
  <si>
    <t>Cash Flow</t>
    <phoneticPr fontId="2" type="noConversion"/>
  </si>
  <si>
    <t>-x</t>
    <phoneticPr fontId="2" type="noConversion"/>
  </si>
  <si>
    <t>Student</t>
    <phoneticPr fontId="2" type="noConversion"/>
  </si>
  <si>
    <t>Tax per student</t>
    <phoneticPr fontId="2" type="noConversion"/>
  </si>
  <si>
    <t>Sum</t>
    <phoneticPr fontId="2" type="noConversion"/>
  </si>
  <si>
    <t>B</t>
    <phoneticPr fontId="2" type="noConversion"/>
  </si>
  <si>
    <t>Loan</t>
    <phoneticPr fontId="2" type="noConversion"/>
  </si>
  <si>
    <t>npv A</t>
    <phoneticPr fontId="2" type="noConversion"/>
  </si>
  <si>
    <t>npv B</t>
    <phoneticPr fontId="2" type="noConversion"/>
  </si>
  <si>
    <t>year</t>
    <phoneticPr fontId="2" type="noConversion"/>
  </si>
  <si>
    <t>year 0</t>
    <phoneticPr fontId="2" type="noConversion"/>
  </si>
  <si>
    <t>year 2</t>
    <phoneticPr fontId="2" type="noConversion"/>
  </si>
  <si>
    <t>year 5?</t>
    <phoneticPr fontId="2" type="noConversion"/>
  </si>
  <si>
    <t>APR</t>
    <phoneticPr fontId="2" type="noConversion"/>
  </si>
  <si>
    <t>APY</t>
    <phoneticPr fontId="2" type="noConversion"/>
  </si>
  <si>
    <t>nomial</t>
    <phoneticPr fontId="2" type="noConversion"/>
  </si>
  <si>
    <t>effect</t>
    <phoneticPr fontId="2" type="noConversion"/>
  </si>
  <si>
    <t>r</t>
    <phoneticPr fontId="2" type="noConversion"/>
  </si>
  <si>
    <t>AOC</t>
    <phoneticPr fontId="2" type="noConversion"/>
  </si>
  <si>
    <t>life</t>
    <phoneticPr fontId="2" type="noConversion"/>
  </si>
  <si>
    <t>Salvage</t>
    <phoneticPr fontId="2" type="noConversion"/>
  </si>
  <si>
    <t>D</t>
    <phoneticPr fontId="2" type="noConversion"/>
  </si>
  <si>
    <t>Benefit</t>
    <phoneticPr fontId="2" type="noConversion"/>
  </si>
  <si>
    <t>Disbenefit</t>
    <phoneticPr fontId="2" type="noConversion"/>
  </si>
  <si>
    <t>Cost</t>
    <phoneticPr fontId="2" type="noConversion"/>
  </si>
  <si>
    <t>&lt;1</t>
    <phoneticPr fontId="2" type="noConversion"/>
  </si>
  <si>
    <t>save</t>
    <phoneticPr fontId="2" type="noConversion"/>
  </si>
  <si>
    <t>rev loss</t>
    <phoneticPr fontId="2" type="noConversion"/>
  </si>
  <si>
    <t>ini cost</t>
    <phoneticPr fontId="2" type="noConversion"/>
  </si>
  <si>
    <t>Convn</t>
    <phoneticPr fontId="2" type="noConversion"/>
  </si>
  <si>
    <t>without D</t>
    <phoneticPr fontId="2" type="noConversion"/>
  </si>
  <si>
    <t>&gt;1</t>
    <phoneticPr fontId="2" type="noConversion"/>
  </si>
  <si>
    <t>ticket</t>
    <phoneticPr fontId="2" type="noConversion"/>
  </si>
  <si>
    <t>per month</t>
    <phoneticPr fontId="2" type="noConversion"/>
  </si>
  <si>
    <t>per ticket</t>
    <phoneticPr fontId="2" type="noConversion"/>
  </si>
  <si>
    <t>contrct ini cost</t>
    <phoneticPr fontId="2" type="noConversion"/>
  </si>
  <si>
    <t>month</t>
    <phoneticPr fontId="2" type="noConversion"/>
  </si>
  <si>
    <t>collision</t>
    <phoneticPr fontId="2" type="noConversion"/>
  </si>
  <si>
    <t>per each</t>
    <phoneticPr fontId="2" type="noConversion"/>
  </si>
  <si>
    <t>B/C</t>
    <phoneticPr fontId="2" type="noConversion"/>
  </si>
  <si>
    <t>contrct ini</t>
    <phoneticPr fontId="2" type="noConversion"/>
  </si>
  <si>
    <t>M&amp;O + data</t>
    <phoneticPr fontId="2" type="noConversion"/>
  </si>
  <si>
    <t>PI</t>
    <phoneticPr fontId="2" type="noConversion"/>
  </si>
  <si>
    <t>Solar</t>
    <phoneticPr fontId="2" type="noConversion"/>
  </si>
  <si>
    <t>Convention</t>
    <phoneticPr fontId="2" type="noConversion"/>
  </si>
  <si>
    <t>delta</t>
    <phoneticPr fontId="2" type="noConversion"/>
  </si>
  <si>
    <t>total cost(ini+salvage)</t>
    <phoneticPr fontId="2" type="noConversion"/>
  </si>
  <si>
    <t>pond</t>
    <phoneticPr fontId="2" type="noConversion"/>
  </si>
  <si>
    <t>plant</t>
    <phoneticPr fontId="2" type="noConversion"/>
  </si>
  <si>
    <t>primary</t>
    <phoneticPr fontId="2" type="noConversion"/>
  </si>
  <si>
    <t>secondary</t>
    <phoneticPr fontId="2" type="noConversion"/>
  </si>
  <si>
    <t>capital cost</t>
    <phoneticPr fontId="2" type="noConversion"/>
  </si>
  <si>
    <t>benefit/year</t>
    <phoneticPr fontId="2" type="noConversion"/>
  </si>
  <si>
    <t>M&amp;O/year</t>
    <phoneticPr fontId="2" type="noConversion"/>
  </si>
  <si>
    <t>capital/year</t>
    <phoneticPr fontId="2" type="noConversion"/>
  </si>
  <si>
    <t>cost/year</t>
    <phoneticPr fontId="2" type="noConversion"/>
  </si>
  <si>
    <t>b/c</t>
    <phoneticPr fontId="2" type="noConversion"/>
  </si>
  <si>
    <t>secondary-primary</t>
    <phoneticPr fontId="2" type="noConversion"/>
  </si>
  <si>
    <t>Select secondary</t>
    <phoneticPr fontId="2" type="noConversion"/>
  </si>
  <si>
    <t>pond - secondary</t>
    <phoneticPr fontId="2" type="noConversion"/>
  </si>
  <si>
    <t>Select pond</t>
    <phoneticPr fontId="2" type="noConversion"/>
  </si>
  <si>
    <t>plant - pond</t>
    <phoneticPr fontId="2" type="noConversion"/>
  </si>
  <si>
    <t>f</t>
    <phoneticPr fontId="2" type="noConversion"/>
  </si>
  <si>
    <t>without f</t>
    <phoneticPr fontId="2" type="noConversion"/>
  </si>
  <si>
    <t>with f</t>
    <phoneticPr fontId="2" type="noConversion"/>
  </si>
  <si>
    <t>if</t>
    <phoneticPr fontId="2" type="noConversion"/>
  </si>
  <si>
    <t>first cost</t>
    <phoneticPr fontId="2" type="noConversion"/>
  </si>
  <si>
    <t>aoc</t>
    <phoneticPr fontId="2" type="noConversion"/>
  </si>
  <si>
    <t>salvage</t>
    <phoneticPr fontId="2" type="noConversion"/>
  </si>
  <si>
    <t>Total</t>
    <phoneticPr fontId="2" type="noConversion"/>
  </si>
  <si>
    <t>Select B</t>
    <phoneticPr fontId="2" type="noConversion"/>
  </si>
  <si>
    <t>should A</t>
    <phoneticPr fontId="2" type="noConversion"/>
  </si>
  <si>
    <t>B-A</t>
    <phoneticPr fontId="2" type="noConversion"/>
  </si>
  <si>
    <t>constant</t>
    <phoneticPr fontId="2" type="noConversion"/>
  </si>
  <si>
    <t>MARR(i)</t>
    <phoneticPr fontId="2" type="noConversion"/>
  </si>
  <si>
    <t>M&amp;O</t>
    <phoneticPr fontId="2" type="noConversion"/>
  </si>
  <si>
    <t>infinite</t>
    <phoneticPr fontId="2" type="noConversion"/>
  </si>
  <si>
    <t>P=A/i</t>
    <phoneticPr fontId="2" type="noConversion"/>
  </si>
  <si>
    <t>Future</t>
    <phoneticPr fontId="2" type="noConversion"/>
  </si>
  <si>
    <t>Select A</t>
    <phoneticPr fontId="2" type="noConversion"/>
  </si>
  <si>
    <t>MARR</t>
    <phoneticPr fontId="2" type="noConversion"/>
  </si>
  <si>
    <t>total money for 40 years</t>
    <phoneticPr fontId="2" type="noConversion"/>
  </si>
  <si>
    <t>cv of total</t>
    <phoneticPr fontId="2" type="noConversion"/>
  </si>
  <si>
    <t>CFBT</t>
    <phoneticPr fontId="2" type="noConversion"/>
  </si>
  <si>
    <t>P &amp; S</t>
    <phoneticPr fontId="2" type="noConversion"/>
  </si>
  <si>
    <t/>
  </si>
  <si>
    <t>TI</t>
    <phoneticPr fontId="2" type="noConversion"/>
  </si>
  <si>
    <t>Tax</t>
    <phoneticPr fontId="2" type="noConversion"/>
  </si>
  <si>
    <t>CFAT</t>
    <phoneticPr fontId="2" type="noConversion"/>
  </si>
  <si>
    <t>SL</t>
    <phoneticPr fontId="2" type="noConversion"/>
  </si>
  <si>
    <t>total tax</t>
    <phoneticPr fontId="2" type="noConversion"/>
  </si>
  <si>
    <t>PW tax</t>
    <phoneticPr fontId="2" type="noConversion"/>
  </si>
  <si>
    <t>DDB</t>
    <phoneticPr fontId="2" type="noConversion"/>
  </si>
  <si>
    <t>BV</t>
    <phoneticPr fontId="2" type="noConversion"/>
  </si>
  <si>
    <t>Total Tax</t>
    <phoneticPr fontId="2" type="noConversion"/>
  </si>
  <si>
    <t>SP</t>
    <phoneticPr fontId="2" type="noConversion"/>
  </si>
  <si>
    <t>SL D</t>
    <phoneticPr fontId="2" type="noConversion"/>
  </si>
  <si>
    <t>Wrong</t>
    <phoneticPr fontId="2" type="noConversion"/>
  </si>
  <si>
    <t>GI</t>
    <phoneticPr fontId="2" type="noConversion"/>
  </si>
  <si>
    <t>total</t>
    <phoneticPr fontId="2" type="noConversion"/>
  </si>
  <si>
    <t>H</t>
    <phoneticPr fontId="2" type="noConversion"/>
  </si>
  <si>
    <t>Age</t>
    <phoneticPr fontId="2" type="noConversion"/>
  </si>
  <si>
    <t>Defender</t>
    <phoneticPr fontId="2" type="noConversion"/>
  </si>
  <si>
    <t>Challenger</t>
    <phoneticPr fontId="2" type="noConversion"/>
  </si>
  <si>
    <t>OE</t>
    <phoneticPr fontId="2" type="noConversion"/>
  </si>
  <si>
    <t>HongKong</t>
    <phoneticPr fontId="2" type="noConversion"/>
  </si>
  <si>
    <t>GI-OE</t>
    <phoneticPr fontId="2" type="noConversion"/>
  </si>
  <si>
    <t>NOPAT</t>
    <phoneticPr fontId="2" type="noConversion"/>
  </si>
  <si>
    <t>EVA</t>
    <phoneticPr fontId="2" type="noConversion"/>
  </si>
  <si>
    <t>Vietnam</t>
    <phoneticPr fontId="2" type="noConversion"/>
  </si>
  <si>
    <t>&gt;400000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</si>
</sst>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&quot;₩&quot;#,##0;[Red]\-&quot;₩&quot;#,##0"/>
    <numFmt numFmtId="41" formatCode="_-* #,##0_-;\-* #,##0_-;_-* &quot;-&quot;_-;_-@_-"/>
    <numFmt numFmtId="43" formatCode="_-* #,##0.00_-;\-* #,##0.00_-;_-* &quot;-&quot;??_-;_-@_-"/>
    <numFmt numFmtId="176" formatCode="_-[$$-409]* #,##0.00_ ;_-[$$-409]* \-#,##0.00\ ;_-[$$-409]* &quot;-&quot;??_ ;_-@_ "/>
    <numFmt numFmtId="177" formatCode="0.0000"/>
    <numFmt numFmtId="178" formatCode="0.0"/>
    <numFmt numFmtId="179" formatCode="0.0%"/>
    <numFmt numFmtId="180" formatCode="_-[$$-409]* #,##0.0000000_ ;_-[$$-409]* \-#,##0.0000000\ ;_-[$$-409]* &quot;-&quot;??_ ;_-@_ "/>
    <numFmt numFmtId="181" formatCode="_-* #,##0.0_-;\-* #,##0.0_-;_-* &quot;-&quot;_-;_-@_-"/>
    <numFmt numFmtId="182" formatCode="_-* #,##0.00_-;\-* #,##0.00_-;_-* &quot;-&quot;_-;_-@_-"/>
    <numFmt numFmtId="183" formatCode="_-* #,##0.0000_-;\-* #,##0.0000_-;_-* &quot;-&quot;_-;_-@_-"/>
    <numFmt numFmtId="184" formatCode="_-* #,##0.00000000_-;\-* #,##0.00000000_-;_-* &quot;-&quot;_-;_-@_-"/>
    <numFmt numFmtId="185" formatCode="0.0000%"/>
    <numFmt numFmtId="186" formatCode="0.00000%"/>
    <numFmt numFmtId="187" formatCode="0.000%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2" borderId="0" xfId="0" applyFill="1">
      <alignment vertical="center"/>
    </xf>
    <xf numFmtId="6" fontId="0" fillId="2" borderId="0" xfId="0" applyNumberFormat="1" applyFill="1">
      <alignment vertical="center"/>
    </xf>
    <xf numFmtId="9" fontId="0" fillId="2" borderId="0" xfId="0" applyNumberFormat="1" applyFill="1">
      <alignment vertical="center"/>
    </xf>
    <xf numFmtId="176" fontId="0" fillId="2" borderId="0" xfId="1" applyNumberFormat="1" applyFont="1" applyFill="1">
      <alignment vertical="center"/>
    </xf>
    <xf numFmtId="176" fontId="0" fillId="0" borderId="0" xfId="0" applyNumberFormat="1">
      <alignment vertical="center"/>
    </xf>
    <xf numFmtId="0" fontId="0" fillId="2" borderId="0" xfId="0" quotePrefix="1" applyFill="1">
      <alignment vertical="center"/>
    </xf>
    <xf numFmtId="176" fontId="0" fillId="2" borderId="0" xfId="0" applyNumberFormat="1" applyFill="1">
      <alignment vertical="center"/>
    </xf>
    <xf numFmtId="0" fontId="3" fillId="2" borderId="0" xfId="0" applyFont="1" applyFill="1">
      <alignment vertical="center"/>
    </xf>
    <xf numFmtId="10" fontId="0" fillId="2" borderId="0" xfId="0" applyNumberFormat="1" applyFill="1">
      <alignment vertical="center"/>
    </xf>
    <xf numFmtId="178" fontId="0" fillId="2" borderId="0" xfId="0" applyNumberFormat="1" applyFill="1">
      <alignment vertical="center"/>
    </xf>
    <xf numFmtId="10" fontId="0" fillId="2" borderId="0" xfId="2" applyNumberFormat="1" applyFont="1" applyFill="1">
      <alignment vertical="center"/>
    </xf>
    <xf numFmtId="0" fontId="4" fillId="2" borderId="0" xfId="0" applyFont="1" applyFill="1">
      <alignment vertical="center"/>
    </xf>
    <xf numFmtId="9" fontId="4" fillId="2" borderId="0" xfId="2" applyFont="1" applyFill="1">
      <alignment vertical="center"/>
    </xf>
    <xf numFmtId="2" fontId="3" fillId="2" borderId="0" xfId="0" applyNumberFormat="1" applyFont="1" applyFill="1">
      <alignment vertical="center"/>
    </xf>
    <xf numFmtId="0" fontId="3" fillId="3" borderId="0" xfId="0" applyFont="1" applyFill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9" fontId="0" fillId="3" borderId="0" xfId="0" applyNumberFormat="1" applyFill="1">
      <alignment vertical="center"/>
    </xf>
    <xf numFmtId="182" fontId="0" fillId="2" borderId="0" xfId="1" applyNumberFormat="1" applyFont="1" applyFill="1">
      <alignment vertical="center"/>
    </xf>
    <xf numFmtId="181" fontId="0" fillId="2" borderId="0" xfId="0" applyNumberFormat="1" applyFill="1">
      <alignment vertical="center"/>
    </xf>
    <xf numFmtId="43" fontId="0" fillId="2" borderId="0" xfId="0" applyNumberFormat="1" applyFill="1">
      <alignment vertical="center"/>
    </xf>
    <xf numFmtId="183" fontId="0" fillId="2" borderId="0" xfId="1" applyNumberFormat="1" applyFont="1" applyFill="1">
      <alignment vertical="center"/>
    </xf>
    <xf numFmtId="181" fontId="0" fillId="2" borderId="0" xfId="1" applyNumberFormat="1" applyFont="1" applyFill="1">
      <alignment vertical="center"/>
    </xf>
    <xf numFmtId="177" fontId="0" fillId="2" borderId="0" xfId="0" applyNumberFormat="1" applyFill="1">
      <alignment vertical="center"/>
    </xf>
    <xf numFmtId="41" fontId="0" fillId="2" borderId="0" xfId="1" applyFont="1" applyFill="1">
      <alignment vertical="center"/>
    </xf>
    <xf numFmtId="184" fontId="0" fillId="2" borderId="0" xfId="1" applyNumberFormat="1" applyFont="1" applyFill="1">
      <alignment vertical="center"/>
    </xf>
    <xf numFmtId="179" fontId="0" fillId="2" borderId="0" xfId="0" applyNumberFormat="1" applyFill="1">
      <alignment vertical="center"/>
    </xf>
    <xf numFmtId="2" fontId="3" fillId="3" borderId="0" xfId="0" applyNumberFormat="1" applyFont="1" applyFill="1">
      <alignment vertical="center"/>
    </xf>
    <xf numFmtId="41" fontId="0" fillId="3" borderId="0" xfId="1" applyFont="1" applyFill="1">
      <alignment vertical="center"/>
    </xf>
    <xf numFmtId="182" fontId="0" fillId="3" borderId="0" xfId="1" applyNumberFormat="1" applyFont="1" applyFill="1">
      <alignment vertical="center"/>
    </xf>
    <xf numFmtId="43" fontId="0" fillId="3" borderId="0" xfId="0" applyNumberFormat="1" applyFill="1">
      <alignment vertical="center"/>
    </xf>
    <xf numFmtId="0" fontId="0" fillId="3" borderId="0" xfId="0" quotePrefix="1" applyFill="1">
      <alignment vertical="center"/>
    </xf>
    <xf numFmtId="180" fontId="0" fillId="2" borderId="0" xfId="0" applyNumberFormat="1" applyFill="1">
      <alignment vertical="center"/>
    </xf>
    <xf numFmtId="6" fontId="0" fillId="0" borderId="0" xfId="0" applyNumberFormat="1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41" fontId="0" fillId="0" borderId="0" xfId="0" applyNumberFormat="1">
      <alignment vertical="center"/>
    </xf>
    <xf numFmtId="41" fontId="0" fillId="2" borderId="0" xfId="0" applyNumberFormat="1" applyFill="1">
      <alignment vertical="center"/>
    </xf>
    <xf numFmtId="10" fontId="0" fillId="0" borderId="0" xfId="0" applyNumberFormat="1">
      <alignment vertical="center"/>
    </xf>
    <xf numFmtId="10" fontId="0" fillId="3" borderId="0" xfId="2" applyNumberFormat="1" applyFont="1" applyFill="1">
      <alignment vertical="center"/>
    </xf>
    <xf numFmtId="10" fontId="0" fillId="3" borderId="0" xfId="0" applyNumberFormat="1" applyFill="1">
      <alignment vertical="center"/>
    </xf>
    <xf numFmtId="186" fontId="0" fillId="3" borderId="0" xfId="2" applyNumberFormat="1" applyFont="1" applyFill="1">
      <alignment vertical="center"/>
    </xf>
    <xf numFmtId="185" fontId="0" fillId="3" borderId="0" xfId="2" applyNumberFormat="1" applyFont="1" applyFill="1">
      <alignment vertical="center"/>
    </xf>
    <xf numFmtId="179" fontId="0" fillId="0" borderId="0" xfId="0" applyNumberFormat="1">
      <alignment vertical="center"/>
    </xf>
    <xf numFmtId="9" fontId="0" fillId="0" borderId="0" xfId="2" applyNumberFormat="1" applyFont="1">
      <alignment vertical="center"/>
    </xf>
    <xf numFmtId="41" fontId="0" fillId="2" borderId="0" xfId="1" quotePrefix="1" applyFont="1" applyFill="1">
      <alignment vertical="center"/>
    </xf>
    <xf numFmtId="41" fontId="0" fillId="3" borderId="0" xfId="1" applyNumberFormat="1" applyFont="1" applyFill="1">
      <alignment vertical="center"/>
    </xf>
    <xf numFmtId="41" fontId="0" fillId="3" borderId="0" xfId="0" applyNumberFormat="1" applyFill="1">
      <alignment vertical="center"/>
    </xf>
    <xf numFmtId="182" fontId="0" fillId="3" borderId="0" xfId="0" applyNumberFormat="1" applyFill="1">
      <alignment vertical="center"/>
    </xf>
    <xf numFmtId="41" fontId="0" fillId="3" borderId="0" xfId="1" quotePrefix="1" applyFont="1" applyFill="1">
      <alignment vertical="center"/>
    </xf>
    <xf numFmtId="2" fontId="0" fillId="3" borderId="0" xfId="0" applyNumberFormat="1" applyFill="1">
      <alignment vertical="center"/>
    </xf>
    <xf numFmtId="187" fontId="0" fillId="3" borderId="0" xfId="0" applyNumberFormat="1" applyFill="1">
      <alignment vertical="center"/>
    </xf>
    <xf numFmtId="6" fontId="0" fillId="3" borderId="0" xfId="0" applyNumberFormat="1" applyFill="1">
      <alignment vertical="center"/>
    </xf>
    <xf numFmtId="185" fontId="0" fillId="3" borderId="0" xfId="0" applyNumberFormat="1" applyFill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5" xfId="0" applyFill="1" applyBorder="1">
      <alignment vertical="center"/>
    </xf>
    <xf numFmtId="41" fontId="0" fillId="3" borderId="0" xfId="1" applyFont="1" applyFill="1" applyBorder="1">
      <alignment vertical="center"/>
    </xf>
    <xf numFmtId="41" fontId="0" fillId="3" borderId="5" xfId="1" applyFont="1" applyFill="1" applyBorder="1">
      <alignment vertical="center"/>
    </xf>
    <xf numFmtId="6" fontId="0" fillId="3" borderId="6" xfId="0" applyNumberFormat="1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187" fontId="0" fillId="3" borderId="1" xfId="0" applyNumberFormat="1" applyFill="1" applyBorder="1">
      <alignment vertical="center"/>
    </xf>
    <xf numFmtId="10" fontId="0" fillId="3" borderId="0" xfId="1" applyNumberFormat="1" applyFont="1" applyFill="1" applyBorder="1">
      <alignment vertical="center"/>
    </xf>
    <xf numFmtId="10" fontId="0" fillId="3" borderId="5" xfId="1" applyNumberFormat="1" applyFont="1" applyFill="1" applyBorder="1">
      <alignment vertical="center"/>
    </xf>
    <xf numFmtId="10" fontId="0" fillId="3" borderId="0" xfId="2" applyNumberFormat="1" applyFont="1" applyFill="1" applyBorder="1">
      <alignment vertical="center"/>
    </xf>
    <xf numFmtId="10" fontId="0" fillId="3" borderId="5" xfId="2" applyNumberFormat="1" applyFont="1" applyFill="1" applyBorder="1">
      <alignment vertical="center"/>
    </xf>
    <xf numFmtId="0" fontId="0" fillId="3" borderId="6" xfId="0" applyFill="1" applyBorder="1">
      <alignment vertical="center"/>
    </xf>
    <xf numFmtId="41" fontId="0" fillId="3" borderId="7" xfId="1" applyFont="1" applyFill="1" applyBorder="1">
      <alignment vertical="center"/>
    </xf>
    <xf numFmtId="41" fontId="0" fillId="3" borderId="8" xfId="1" applyFont="1" applyFill="1" applyBorder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NumberFormat="1" applyFill="1">
      <alignment vertical="center"/>
    </xf>
    <xf numFmtId="0" fontId="0" fillId="3" borderId="0" xfId="0" applyFont="1" applyFill="1">
      <alignment vertical="center"/>
    </xf>
    <xf numFmtId="1" fontId="0" fillId="2" borderId="0" xfId="0" applyNumberFormat="1" applyFill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'Chapter 17'!$A$4:$A$12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'Chapter 17'!$G$4:$G$12</c:f>
              <c:numCache>
                <c:formatCode>_(* #,##0_);_(* \(#,##0\);_(* "-"_);_(@_)</c:formatCode>
                <c:ptCount val="9"/>
                <c:pt idx="0">
                  <c:v>0</c:v>
                </c:pt>
                <c:pt idx="1">
                  <c:v>18000</c:v>
                </c:pt>
                <c:pt idx="2">
                  <c:v>18000</c:v>
                </c:pt>
                <c:pt idx="3">
                  <c:v>18000</c:v>
                </c:pt>
                <c:pt idx="4">
                  <c:v>18000</c:v>
                </c:pt>
                <c:pt idx="5">
                  <c:v>18000</c:v>
                </c:pt>
                <c:pt idx="6">
                  <c:v>18000</c:v>
                </c:pt>
                <c:pt idx="7">
                  <c:v>30000</c:v>
                </c:pt>
                <c:pt idx="8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82-485C-A3EE-F1C7318213AD}"/>
            </c:ext>
          </c:extLst>
        </c:ser>
        <c:ser>
          <c:idx val="1"/>
          <c:order val="1"/>
          <c:tx>
            <c:v>DDB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'Chapter 17'!$A$4:$A$12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'Chapter 17'!$P$4:$P$12</c:f>
              <c:numCache>
                <c:formatCode>_(* #,##0_);_(* \(#,##0\);_(* "-"_);_(@_)</c:formatCode>
                <c:ptCount val="9"/>
                <c:pt idx="0">
                  <c:v>0</c:v>
                </c:pt>
                <c:pt idx="1">
                  <c:v>9000</c:v>
                </c:pt>
                <c:pt idx="2">
                  <c:v>14250</c:v>
                </c:pt>
                <c:pt idx="3">
                  <c:v>18187.5</c:v>
                </c:pt>
                <c:pt idx="4">
                  <c:v>21140.625</c:v>
                </c:pt>
                <c:pt idx="5">
                  <c:v>23355.46875</c:v>
                </c:pt>
                <c:pt idx="6">
                  <c:v>25016.6015625</c:v>
                </c:pt>
                <c:pt idx="7">
                  <c:v>27049.8046875</c:v>
                </c:pt>
                <c:pt idx="8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82-485C-A3EE-F1C731821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5811136"/>
        <c:axId val="1625809888"/>
      </c:lineChart>
      <c:catAx>
        <c:axId val="162581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5809888"/>
        <c:crosses val="autoZero"/>
        <c:auto val="1"/>
        <c:lblAlgn val="ctr"/>
        <c:lblOffset val="100"/>
        <c:noMultiLvlLbl val="0"/>
      </c:catAx>
      <c:valAx>
        <c:axId val="162580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581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240598</xdr:colOff>
      <xdr:row>14</xdr:row>
      <xdr:rowOff>191366</xdr:rowOff>
    </xdr:from>
    <xdr:to>
      <xdr:col>6</xdr:col>
      <xdr:colOff>431098</xdr:colOff>
      <xdr:row>28</xdr:row>
      <xdr:rowOff>73355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F703238-BCAC-DACF-5DD6-610C68B45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B3779-51EC-4345-9B56-DEFDA6F9D379}">
  <dimension ref="A1:H69"/>
  <sheetViews>
    <sheetView workbookViewId="0">
      <selection activeCell="C42" sqref="C42"/>
    </sheetView>
  </sheetViews>
  <sheetFormatPr defaultRowHeight="16.5" x14ac:dyDescent="0.3"/>
  <cols>
    <col min="1" max="1" width="14.375" bestFit="1" customWidth="1"/>
    <col min="2" max="2" width="12.5" customWidth="1"/>
    <col min="4" max="4" width="10.875" bestFit="1" customWidth="1"/>
    <col min="7" max="7" width="10.875" bestFit="1" customWidth="1"/>
  </cols>
  <sheetData>
    <row r="1" spans="1:8" x14ac:dyDescent="0.3">
      <c r="A1" s="9">
        <v>1.27</v>
      </c>
      <c r="B1" s="2"/>
      <c r="C1" s="2"/>
      <c r="D1" s="2"/>
      <c r="E1" s="2"/>
      <c r="F1" s="2"/>
      <c r="G1" s="2"/>
      <c r="H1" s="2"/>
    </row>
    <row r="2" spans="1:8" x14ac:dyDescent="0.3">
      <c r="A2" s="2" t="s">
        <v>0</v>
      </c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</row>
    <row r="3" spans="1:8" x14ac:dyDescent="0.3">
      <c r="A3" s="3" t="s">
        <v>1</v>
      </c>
      <c r="B3" s="2">
        <v>0</v>
      </c>
      <c r="C3" s="2">
        <v>0</v>
      </c>
      <c r="D3" s="2">
        <v>0</v>
      </c>
      <c r="E3" s="2">
        <v>-400</v>
      </c>
      <c r="F3" s="2">
        <v>900</v>
      </c>
      <c r="G3" s="2">
        <v>-100</v>
      </c>
      <c r="H3" s="2">
        <v>-100</v>
      </c>
    </row>
    <row r="4" spans="1:8" x14ac:dyDescent="0.3">
      <c r="A4" s="2"/>
      <c r="B4" s="2"/>
      <c r="C4" s="2"/>
      <c r="D4" s="2"/>
      <c r="E4" s="2"/>
      <c r="F4" s="2"/>
      <c r="G4" s="2"/>
      <c r="H4" s="2"/>
    </row>
    <row r="5" spans="1:8" x14ac:dyDescent="0.3">
      <c r="A5" s="2" t="s">
        <v>2</v>
      </c>
      <c r="B5" s="4">
        <v>0.15</v>
      </c>
      <c r="C5" s="2"/>
      <c r="D5" s="2"/>
      <c r="E5" s="2"/>
      <c r="F5" s="2"/>
      <c r="G5" s="2"/>
      <c r="H5" s="2"/>
    </row>
    <row r="6" spans="1:8" x14ac:dyDescent="0.3">
      <c r="A6" s="2" t="s">
        <v>3</v>
      </c>
      <c r="B6" s="5">
        <f>NPV(B5,C3:H3)+B3</f>
        <v>158.62099493995012</v>
      </c>
      <c r="C6" s="2"/>
      <c r="D6" s="2"/>
      <c r="E6" s="2"/>
      <c r="F6" s="2"/>
      <c r="G6" s="2"/>
      <c r="H6" s="2"/>
    </row>
    <row r="8" spans="1:8" x14ac:dyDescent="0.3">
      <c r="A8" s="9">
        <v>1.32</v>
      </c>
      <c r="B8" s="2"/>
      <c r="C8" s="2"/>
    </row>
    <row r="9" spans="1:8" x14ac:dyDescent="0.3">
      <c r="A9" s="2" t="s">
        <v>5</v>
      </c>
      <c r="B9" s="2" t="s">
        <v>6</v>
      </c>
      <c r="C9" s="2"/>
    </row>
    <row r="10" spans="1:8" x14ac:dyDescent="0.3">
      <c r="A10" s="2">
        <v>0</v>
      </c>
      <c r="B10" s="2">
        <v>4000</v>
      </c>
      <c r="C10" s="2"/>
    </row>
    <row r="11" spans="1:8" x14ac:dyDescent="0.3">
      <c r="A11" s="2" t="s">
        <v>7</v>
      </c>
      <c r="B11" s="7" t="s">
        <v>8</v>
      </c>
      <c r="C11" s="2"/>
    </row>
    <row r="12" spans="1:8" x14ac:dyDescent="0.3">
      <c r="A12" s="2"/>
      <c r="B12" s="2"/>
      <c r="C12" s="2"/>
    </row>
    <row r="13" spans="1:8" x14ac:dyDescent="0.3">
      <c r="A13" s="2" t="s">
        <v>2</v>
      </c>
      <c r="B13" s="4">
        <v>0.1</v>
      </c>
      <c r="C13" s="2"/>
    </row>
    <row r="14" spans="1:8" x14ac:dyDescent="0.3">
      <c r="A14" s="2" t="s">
        <v>3</v>
      </c>
      <c r="B14" s="8">
        <f>FV(B13,1,,-4000)+B10</f>
        <v>8400</v>
      </c>
      <c r="C14" s="2"/>
    </row>
    <row r="16" spans="1:8" x14ac:dyDescent="0.3">
      <c r="A16" s="9">
        <v>1.42</v>
      </c>
      <c r="B16" s="2" t="s">
        <v>9</v>
      </c>
      <c r="C16" s="2"/>
      <c r="D16" s="2"/>
      <c r="E16" s="2"/>
      <c r="F16" s="2"/>
      <c r="G16" s="2"/>
    </row>
    <row r="17" spans="1:7" x14ac:dyDescent="0.3">
      <c r="A17" s="2" t="s">
        <v>10</v>
      </c>
      <c r="B17" s="2"/>
      <c r="C17" s="2"/>
      <c r="D17" s="2" t="s">
        <v>13</v>
      </c>
      <c r="E17" s="10">
        <v>0.1</v>
      </c>
      <c r="F17" s="2"/>
      <c r="G17" s="2"/>
    </row>
    <row r="18" spans="1:7" x14ac:dyDescent="0.3">
      <c r="A18" s="2">
        <v>2</v>
      </c>
      <c r="B18" s="2"/>
      <c r="C18" s="2"/>
      <c r="D18" s="2">
        <f>A18+A21*(A18*E17)</f>
        <v>2.8</v>
      </c>
      <c r="E18" s="2"/>
      <c r="F18" s="2"/>
      <c r="G18" s="2"/>
    </row>
    <row r="19" spans="1:7" x14ac:dyDescent="0.3">
      <c r="A19" s="2"/>
      <c r="B19" s="2"/>
      <c r="C19" s="2"/>
      <c r="D19" s="2" t="s">
        <v>14</v>
      </c>
      <c r="E19" s="10">
        <v>8.7737103522663937E-2</v>
      </c>
      <c r="F19" s="2"/>
      <c r="G19" s="2" t="s">
        <v>14</v>
      </c>
    </row>
    <row r="20" spans="1:7" x14ac:dyDescent="0.3">
      <c r="A20" s="2" t="s">
        <v>11</v>
      </c>
      <c r="B20" s="2"/>
      <c r="C20" s="2"/>
      <c r="D20" s="11">
        <f>A18*(1+E19)^A21</f>
        <v>2.7997919933619557</v>
      </c>
      <c r="E20" s="2"/>
      <c r="F20" s="2"/>
      <c r="G20" s="10">
        <f>RATE(A21,,-A18,A24)</f>
        <v>8.7757305937283731E-2</v>
      </c>
    </row>
    <row r="21" spans="1:7" x14ac:dyDescent="0.3">
      <c r="A21" s="2">
        <v>4</v>
      </c>
      <c r="B21" s="2"/>
      <c r="C21" s="2"/>
      <c r="D21" s="2"/>
      <c r="E21" s="2"/>
      <c r="F21" s="2"/>
      <c r="G21" s="2"/>
    </row>
    <row r="22" spans="1:7" x14ac:dyDescent="0.3">
      <c r="A22" s="2"/>
      <c r="B22" s="2"/>
      <c r="C22" s="2"/>
      <c r="D22" s="2"/>
      <c r="E22" s="2"/>
      <c r="F22" s="2"/>
      <c r="G22" s="2"/>
    </row>
    <row r="23" spans="1:7" x14ac:dyDescent="0.3">
      <c r="A23" s="2" t="s">
        <v>12</v>
      </c>
      <c r="B23" s="2"/>
      <c r="C23" s="2"/>
      <c r="D23" s="2"/>
      <c r="E23" s="2"/>
      <c r="F23" s="2"/>
      <c r="G23" s="2"/>
    </row>
    <row r="24" spans="1:7" x14ac:dyDescent="0.3">
      <c r="A24" s="2">
        <v>2.8</v>
      </c>
      <c r="B24" s="2"/>
      <c r="C24" s="2"/>
      <c r="D24" s="2"/>
      <c r="E24" s="2"/>
      <c r="F24" s="2"/>
      <c r="G24" s="2"/>
    </row>
    <row r="26" spans="1:7" x14ac:dyDescent="0.3">
      <c r="A26" s="9">
        <v>1.44</v>
      </c>
      <c r="B26" s="2"/>
      <c r="C26" s="2"/>
    </row>
    <row r="27" spans="1:7" x14ac:dyDescent="0.3">
      <c r="A27" s="2" t="s">
        <v>15</v>
      </c>
      <c r="B27" s="2"/>
      <c r="C27" s="2" t="s">
        <v>16</v>
      </c>
    </row>
    <row r="28" spans="1:7" x14ac:dyDescent="0.3">
      <c r="A28" s="4">
        <v>0.4</v>
      </c>
      <c r="B28" s="2"/>
      <c r="C28" s="4">
        <v>0.6</v>
      </c>
    </row>
    <row r="29" spans="1:7" x14ac:dyDescent="0.3">
      <c r="A29" s="4">
        <v>0.1</v>
      </c>
      <c r="B29" s="2"/>
      <c r="C29" s="4">
        <v>0.16</v>
      </c>
    </row>
    <row r="30" spans="1:7" x14ac:dyDescent="0.3">
      <c r="A30" s="10">
        <f>A28*A29</f>
        <v>4.0000000000000008E-2</v>
      </c>
      <c r="B30" s="2"/>
      <c r="C30" s="12">
        <f>C29*C28</f>
        <v>9.6000000000000002E-2</v>
      </c>
    </row>
    <row r="31" spans="1:7" x14ac:dyDescent="0.3">
      <c r="A31" s="2" t="s">
        <v>17</v>
      </c>
      <c r="B31" s="10">
        <f>A30+C30</f>
        <v>0.13600000000000001</v>
      </c>
      <c r="C31" s="2"/>
    </row>
    <row r="34" spans="1:3" x14ac:dyDescent="0.3">
      <c r="A34" s="9">
        <v>1.47</v>
      </c>
    </row>
    <row r="35" spans="1:3" x14ac:dyDescent="0.3">
      <c r="A35" s="2">
        <v>5100</v>
      </c>
    </row>
    <row r="36" spans="1:3" x14ac:dyDescent="0.3">
      <c r="A36" s="2"/>
    </row>
    <row r="37" spans="1:3" x14ac:dyDescent="0.3">
      <c r="A37" s="4">
        <v>0.3</v>
      </c>
    </row>
    <row r="38" spans="1:3" x14ac:dyDescent="0.3">
      <c r="A38" s="2"/>
    </row>
    <row r="39" spans="1:3" x14ac:dyDescent="0.3">
      <c r="A39" s="4">
        <v>0.25</v>
      </c>
    </row>
    <row r="41" spans="1:3" x14ac:dyDescent="0.3">
      <c r="A41" s="16">
        <v>1.57</v>
      </c>
      <c r="B41" s="17"/>
      <c r="C41" s="17"/>
    </row>
    <row r="42" spans="1:3" x14ac:dyDescent="0.3">
      <c r="A42" s="17" t="s">
        <v>2</v>
      </c>
      <c r="B42" s="19">
        <v>0.1</v>
      </c>
      <c r="C42" s="17" t="s">
        <v>18</v>
      </c>
    </row>
    <row r="43" spans="1:3" x14ac:dyDescent="0.3">
      <c r="A43" s="17"/>
      <c r="B43" s="17"/>
      <c r="C43" s="17"/>
    </row>
    <row r="44" spans="1:3" x14ac:dyDescent="0.3">
      <c r="A44" s="17" t="s">
        <v>19</v>
      </c>
      <c r="B44" s="17"/>
      <c r="C44" s="17"/>
    </row>
    <row r="45" spans="1:3" x14ac:dyDescent="0.3">
      <c r="A45" s="18">
        <v>10000</v>
      </c>
      <c r="B45" s="17"/>
      <c r="C45" s="17"/>
    </row>
    <row r="46" spans="1:3" x14ac:dyDescent="0.3">
      <c r="A46" s="17"/>
      <c r="B46" s="17"/>
      <c r="C46" s="17"/>
    </row>
    <row r="47" spans="1:3" x14ac:dyDescent="0.3">
      <c r="A47" s="17" t="s">
        <v>20</v>
      </c>
      <c r="B47" s="17"/>
      <c r="C47" s="17"/>
    </row>
    <row r="48" spans="1:3" x14ac:dyDescent="0.3">
      <c r="A48" s="18">
        <f>FV(B42,1,,-A45)</f>
        <v>11000</v>
      </c>
      <c r="B48" s="17"/>
      <c r="C48" s="17"/>
    </row>
    <row r="50" spans="1:4" x14ac:dyDescent="0.3">
      <c r="A50" s="9">
        <v>1.59</v>
      </c>
      <c r="B50" s="13"/>
    </row>
    <row r="51" spans="1:4" x14ac:dyDescent="0.3">
      <c r="A51" s="13">
        <v>100</v>
      </c>
      <c r="B51" s="14">
        <v>0.22</v>
      </c>
    </row>
    <row r="52" spans="1:4" x14ac:dyDescent="0.3">
      <c r="A52" s="13">
        <f>100*(1+20%)^2</f>
        <v>144</v>
      </c>
      <c r="B52" s="13"/>
    </row>
    <row r="53" spans="1:4" x14ac:dyDescent="0.3">
      <c r="A53" s="13">
        <f>A51+A51*B51*2</f>
        <v>144</v>
      </c>
      <c r="B53" s="13"/>
    </row>
    <row r="55" spans="1:4" x14ac:dyDescent="0.3">
      <c r="A55" s="15">
        <v>1.6</v>
      </c>
      <c r="B55" s="2"/>
      <c r="C55" s="2"/>
      <c r="D55" s="2"/>
    </row>
    <row r="56" spans="1:4" x14ac:dyDescent="0.3">
      <c r="A56" s="2" t="s">
        <v>21</v>
      </c>
      <c r="B56" s="2"/>
      <c r="C56" s="2" t="s">
        <v>22</v>
      </c>
      <c r="D56" s="2"/>
    </row>
    <row r="57" spans="1:4" x14ac:dyDescent="0.3">
      <c r="A57" s="12">
        <f>21/30</f>
        <v>0.7</v>
      </c>
      <c r="B57" s="2" t="s">
        <v>23</v>
      </c>
      <c r="C57" s="12">
        <f>1-A57</f>
        <v>0.30000000000000004</v>
      </c>
      <c r="D57" s="2"/>
    </row>
    <row r="58" spans="1:4" x14ac:dyDescent="0.3">
      <c r="A58" s="12">
        <v>0.16</v>
      </c>
      <c r="B58" s="2" t="s">
        <v>2</v>
      </c>
      <c r="C58" s="12">
        <v>0.12</v>
      </c>
      <c r="D58" s="2"/>
    </row>
    <row r="59" spans="1:4" x14ac:dyDescent="0.3">
      <c r="A59" s="12">
        <f>A58*A57</f>
        <v>0.11199999999999999</v>
      </c>
      <c r="B59" s="2"/>
      <c r="C59" s="12">
        <f>C58*C57</f>
        <v>3.6000000000000004E-2</v>
      </c>
      <c r="D59" s="2"/>
    </row>
    <row r="60" spans="1:4" x14ac:dyDescent="0.3">
      <c r="A60" s="2"/>
      <c r="B60" s="2"/>
      <c r="C60" s="2"/>
      <c r="D60" s="2"/>
    </row>
    <row r="61" spans="1:4" x14ac:dyDescent="0.3">
      <c r="A61" s="2" t="s">
        <v>17</v>
      </c>
      <c r="B61" s="12">
        <f>SUM(A59,C59)</f>
        <v>0.14799999999999999</v>
      </c>
      <c r="C61" s="2"/>
      <c r="D61" s="2"/>
    </row>
    <row r="63" spans="1:4" x14ac:dyDescent="0.3">
      <c r="A63" s="16">
        <v>1.61</v>
      </c>
      <c r="B63" s="17"/>
      <c r="C63" s="17"/>
      <c r="D63" s="17"/>
    </row>
    <row r="64" spans="1:4" x14ac:dyDescent="0.3">
      <c r="A64" s="17" t="s">
        <v>0</v>
      </c>
      <c r="B64" s="17">
        <v>0</v>
      </c>
      <c r="C64" s="17">
        <v>1</v>
      </c>
      <c r="D64" s="17">
        <v>2</v>
      </c>
    </row>
    <row r="65" spans="1:4" x14ac:dyDescent="0.3">
      <c r="A65" s="17" t="s">
        <v>1</v>
      </c>
      <c r="B65" s="17">
        <f>650000+200000</f>
        <v>850000</v>
      </c>
      <c r="C65" s="17">
        <v>200000</v>
      </c>
      <c r="D65" s="17">
        <v>0</v>
      </c>
    </row>
    <row r="66" spans="1:4" x14ac:dyDescent="0.3">
      <c r="A66" s="17" t="s">
        <v>2</v>
      </c>
      <c r="B66" s="19">
        <v>0.15</v>
      </c>
      <c r="C66" s="17"/>
      <c r="D66" s="17"/>
    </row>
    <row r="67" spans="1:4" x14ac:dyDescent="0.3">
      <c r="A67" s="17"/>
      <c r="B67" s="17"/>
      <c r="C67" s="17"/>
      <c r="D67" s="17"/>
    </row>
    <row r="68" spans="1:4" x14ac:dyDescent="0.3">
      <c r="A68" s="18">
        <f>B65*(1+B66)^2+C65*(1+B66)</f>
        <v>1354124.9999999998</v>
      </c>
      <c r="B68" s="18"/>
      <c r="C68" s="17"/>
      <c r="D68" s="17"/>
    </row>
    <row r="69" spans="1:4" x14ac:dyDescent="0.3">
      <c r="B69" s="6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BDB82-69F4-41E7-8201-51BF50D8EA35}">
  <dimension ref="A1:G59"/>
  <sheetViews>
    <sheetView topLeftCell="A16" zoomScale="55" zoomScaleNormal="55" workbookViewId="0">
      <selection activeCell="B55" sqref="B55"/>
    </sheetView>
  </sheetViews>
  <sheetFormatPr defaultRowHeight="16.5" x14ac:dyDescent="0.3"/>
  <cols>
    <col min="2" max="3" width="10.875" bestFit="1" customWidth="1"/>
    <col min="4" max="4" width="12.625" bestFit="1" customWidth="1"/>
    <col min="5" max="5" width="13.625" bestFit="1" customWidth="1"/>
    <col min="6" max="6" width="10.875" bestFit="1" customWidth="1"/>
    <col min="7" max="7" width="9.375" bestFit="1" customWidth="1"/>
  </cols>
  <sheetData>
    <row r="1" spans="1:7" x14ac:dyDescent="0.3">
      <c r="A1" s="17">
        <v>14.29</v>
      </c>
      <c r="B1" s="17"/>
      <c r="C1" s="17"/>
      <c r="D1" s="17"/>
      <c r="E1" s="17"/>
      <c r="F1" s="17"/>
      <c r="G1" s="17"/>
    </row>
    <row r="2" spans="1:7" x14ac:dyDescent="0.3">
      <c r="A2" s="17" t="s">
        <v>2</v>
      </c>
      <c r="B2" s="19">
        <v>0.1</v>
      </c>
      <c r="C2" s="17"/>
      <c r="D2" s="17"/>
      <c r="E2" s="17" t="s">
        <v>4</v>
      </c>
      <c r="F2" s="17" t="s">
        <v>65</v>
      </c>
      <c r="G2" s="17"/>
    </row>
    <row r="3" spans="1:7" x14ac:dyDescent="0.3">
      <c r="A3" s="19" t="s">
        <v>122</v>
      </c>
      <c r="B3" s="19">
        <v>0.03</v>
      </c>
      <c r="C3" s="17"/>
      <c r="D3" s="17" t="s">
        <v>126</v>
      </c>
      <c r="E3" s="30">
        <v>-31000</v>
      </c>
      <c r="F3" s="30">
        <v>-48000</v>
      </c>
      <c r="G3" s="17"/>
    </row>
    <row r="4" spans="1:7" x14ac:dyDescent="0.3">
      <c r="A4" s="19" t="s">
        <v>125</v>
      </c>
      <c r="B4" s="53">
        <f>B2+B3+B2*B3</f>
        <v>0.13300000000000001</v>
      </c>
      <c r="C4" s="17"/>
      <c r="D4" s="17" t="s">
        <v>127</v>
      </c>
      <c r="E4" s="30">
        <v>-28000</v>
      </c>
      <c r="F4" s="30">
        <v>-19000</v>
      </c>
      <c r="G4" s="17"/>
    </row>
    <row r="5" spans="1:7" x14ac:dyDescent="0.3">
      <c r="A5" s="42"/>
      <c r="B5" s="17"/>
      <c r="C5" s="17"/>
      <c r="D5" s="17" t="s">
        <v>128</v>
      </c>
      <c r="E5" s="30">
        <v>5000</v>
      </c>
      <c r="F5" s="30">
        <v>7000</v>
      </c>
      <c r="G5" s="17"/>
    </row>
    <row r="6" spans="1:7" x14ac:dyDescent="0.3">
      <c r="A6" s="17"/>
      <c r="B6" s="17"/>
      <c r="C6" s="17"/>
      <c r="D6" s="17" t="s">
        <v>79</v>
      </c>
      <c r="E6" s="30">
        <v>5</v>
      </c>
      <c r="F6" s="30">
        <v>5</v>
      </c>
      <c r="G6" s="17"/>
    </row>
    <row r="7" spans="1:7" ht="17.25" thickBot="1" x14ac:dyDescent="0.35">
      <c r="A7" s="17"/>
      <c r="B7" s="17"/>
      <c r="C7" s="17"/>
      <c r="D7" s="17"/>
      <c r="E7" s="17"/>
      <c r="F7" s="17"/>
      <c r="G7" s="17"/>
    </row>
    <row r="8" spans="1:7" x14ac:dyDescent="0.3">
      <c r="A8" s="56" t="s">
        <v>123</v>
      </c>
      <c r="B8" s="57"/>
      <c r="C8" s="58"/>
      <c r="D8" s="17"/>
      <c r="E8" s="67" t="s">
        <v>124</v>
      </c>
      <c r="F8" s="57"/>
      <c r="G8" s="58"/>
    </row>
    <row r="9" spans="1:7" x14ac:dyDescent="0.3">
      <c r="A9" s="59" t="s">
        <v>52</v>
      </c>
      <c r="B9" s="60" t="s">
        <v>4</v>
      </c>
      <c r="C9" s="61" t="s">
        <v>65</v>
      </c>
      <c r="D9" s="17"/>
      <c r="E9" s="59" t="s">
        <v>52</v>
      </c>
      <c r="F9" s="60" t="s">
        <v>4</v>
      </c>
      <c r="G9" s="61" t="s">
        <v>65</v>
      </c>
    </row>
    <row r="10" spans="1:7" x14ac:dyDescent="0.3">
      <c r="A10" s="59" t="s">
        <v>126</v>
      </c>
      <c r="B10" s="62">
        <v>-31000</v>
      </c>
      <c r="C10" s="63">
        <v>-48000</v>
      </c>
      <c r="D10" s="17"/>
      <c r="E10" s="59" t="s">
        <v>126</v>
      </c>
      <c r="F10" s="62">
        <v>-31000</v>
      </c>
      <c r="G10" s="63">
        <v>-48000</v>
      </c>
    </row>
    <row r="11" spans="1:7" x14ac:dyDescent="0.3">
      <c r="A11" s="59" t="s">
        <v>127</v>
      </c>
      <c r="B11" s="62">
        <f>-PV($B$2,E6,E4)</f>
        <v>-106142.02954343661</v>
      </c>
      <c r="C11" s="63">
        <f>-PV($B$2,F6,F4)</f>
        <v>-72024.948618760565</v>
      </c>
      <c r="D11" s="19"/>
      <c r="E11" s="59" t="s">
        <v>127</v>
      </c>
      <c r="F11" s="62">
        <f>-PV($B$4,E6,E4)</f>
        <v>-97765.855224786399</v>
      </c>
      <c r="G11" s="63">
        <f>-PV($B$4,F6,F4)</f>
        <v>-66341.11604539078</v>
      </c>
    </row>
    <row r="12" spans="1:7" x14ac:dyDescent="0.3">
      <c r="A12" s="59" t="s">
        <v>128</v>
      </c>
      <c r="B12" s="62">
        <f>PV($B$2,E6,,E5)</f>
        <v>-3104.6066152957746</v>
      </c>
      <c r="C12" s="63">
        <f>PV($B$2,F6,,F5)</f>
        <v>-4346.4492614140845</v>
      </c>
      <c r="D12" s="17"/>
      <c r="E12" s="59" t="s">
        <v>128</v>
      </c>
      <c r="F12" s="62">
        <f>-PV($B$4,E6,,E5)</f>
        <v>2678.0609384113227</v>
      </c>
      <c r="G12" s="63">
        <f>-PV($B$4,F6,,F5)</f>
        <v>3749.2853137758516</v>
      </c>
    </row>
    <row r="13" spans="1:7" x14ac:dyDescent="0.3">
      <c r="A13" s="59" t="s">
        <v>129</v>
      </c>
      <c r="B13" s="62">
        <f>SUM(B10:B12)</f>
        <v>-140246.63615873238</v>
      </c>
      <c r="C13" s="63">
        <f>SUM(C10:C12)</f>
        <v>-124371.39788017466</v>
      </c>
      <c r="D13" s="54"/>
      <c r="E13" s="59" t="s">
        <v>129</v>
      </c>
      <c r="F13" s="62">
        <f>SUM(F10:F12)</f>
        <v>-126087.79428637508</v>
      </c>
      <c r="G13" s="63">
        <f>SUM(G10:G12)</f>
        <v>-110591.83073161493</v>
      </c>
    </row>
    <row r="14" spans="1:7" ht="17.25" thickBot="1" x14ac:dyDescent="0.35">
      <c r="A14" s="64" t="s">
        <v>130</v>
      </c>
      <c r="B14" s="65"/>
      <c r="C14" s="66"/>
      <c r="D14" s="54"/>
      <c r="E14" s="64" t="s">
        <v>130</v>
      </c>
      <c r="F14" s="65"/>
      <c r="G14" s="66"/>
    </row>
    <row r="15" spans="1:7" ht="17.25" thickBot="1" x14ac:dyDescent="0.35">
      <c r="A15" s="54"/>
      <c r="B15" s="17"/>
      <c r="C15" s="17"/>
      <c r="D15" s="54"/>
      <c r="E15" s="17"/>
      <c r="F15" s="17"/>
      <c r="G15" s="17"/>
    </row>
    <row r="16" spans="1:7" x14ac:dyDescent="0.3">
      <c r="A16" s="56" t="s">
        <v>131</v>
      </c>
      <c r="B16" s="57"/>
      <c r="C16" s="58"/>
      <c r="D16" s="17"/>
      <c r="E16" s="17"/>
      <c r="F16" s="17"/>
      <c r="G16" s="17"/>
    </row>
    <row r="17" spans="1:7" x14ac:dyDescent="0.3">
      <c r="A17" s="59" t="s">
        <v>52</v>
      </c>
      <c r="B17" s="60" t="s">
        <v>4</v>
      </c>
      <c r="C17" s="61" t="s">
        <v>65</v>
      </c>
      <c r="D17" s="17"/>
      <c r="E17" s="19"/>
      <c r="F17" s="17"/>
      <c r="G17" s="17"/>
    </row>
    <row r="18" spans="1:7" x14ac:dyDescent="0.3">
      <c r="A18" s="59" t="s">
        <v>2</v>
      </c>
      <c r="B18" s="68">
        <v>0.17710091172862805</v>
      </c>
      <c r="C18" s="69">
        <v>0.1</v>
      </c>
      <c r="D18" s="17"/>
      <c r="E18" s="19"/>
      <c r="F18" s="17"/>
      <c r="G18" s="17"/>
    </row>
    <row r="19" spans="1:7" x14ac:dyDescent="0.3">
      <c r="A19" s="59" t="s">
        <v>122</v>
      </c>
      <c r="B19" s="68">
        <v>0.03</v>
      </c>
      <c r="C19" s="69">
        <v>0.03</v>
      </c>
      <c r="D19" s="17"/>
      <c r="E19" s="55"/>
      <c r="F19" s="17"/>
      <c r="G19" s="17"/>
    </row>
    <row r="20" spans="1:7" x14ac:dyDescent="0.3">
      <c r="A20" s="59" t="s">
        <v>125</v>
      </c>
      <c r="B20" s="70">
        <f>B18+B19+B18*B19</f>
        <v>0.21241393908048689</v>
      </c>
      <c r="C20" s="71">
        <f>C18+C19+C18*C19</f>
        <v>0.13300000000000001</v>
      </c>
      <c r="D20" s="17"/>
      <c r="E20" s="17"/>
      <c r="F20" s="17"/>
      <c r="G20" s="17"/>
    </row>
    <row r="21" spans="1:7" x14ac:dyDescent="0.3">
      <c r="A21" s="59" t="s">
        <v>126</v>
      </c>
      <c r="B21" s="62">
        <f>E3</f>
        <v>-31000</v>
      </c>
      <c r="C21" s="63">
        <f>F3</f>
        <v>-48000</v>
      </c>
      <c r="D21" s="17"/>
      <c r="E21" s="17"/>
      <c r="F21" s="17"/>
      <c r="G21" s="17"/>
    </row>
    <row r="22" spans="1:7" x14ac:dyDescent="0.3">
      <c r="A22" s="59" t="s">
        <v>127</v>
      </c>
      <c r="B22" s="62">
        <f>-PV(B20,E6,E4)</f>
        <v>-81500.433729765704</v>
      </c>
      <c r="C22" s="63">
        <f>-PV(C20,F6,F4)</f>
        <v>-66341.11604539078</v>
      </c>
      <c r="D22" s="17"/>
      <c r="E22" s="17"/>
      <c r="F22" s="17"/>
      <c r="G22" s="17"/>
    </row>
    <row r="23" spans="1:7" x14ac:dyDescent="0.3">
      <c r="A23" s="59" t="s">
        <v>128</v>
      </c>
      <c r="B23" s="62">
        <f>-PV(B20,E6,,E5)</f>
        <v>1908.6021133379088</v>
      </c>
      <c r="C23" s="63">
        <f>-PV(C20,F6,,F5)</f>
        <v>3749.2853137758516</v>
      </c>
      <c r="D23" s="17"/>
      <c r="E23" s="17"/>
      <c r="F23" s="17"/>
      <c r="G23" s="17"/>
    </row>
    <row r="24" spans="1:7" x14ac:dyDescent="0.3">
      <c r="A24" s="59" t="s">
        <v>129</v>
      </c>
      <c r="B24" s="62">
        <f>SUM(B21:B23)</f>
        <v>-110591.83161642779</v>
      </c>
      <c r="C24" s="63">
        <f>SUM(C21:C23)</f>
        <v>-110591.83073161493</v>
      </c>
      <c r="D24" s="17"/>
      <c r="E24" s="17"/>
      <c r="F24" s="17"/>
      <c r="G24" s="17"/>
    </row>
    <row r="25" spans="1:7" ht="17.25" thickBot="1" x14ac:dyDescent="0.35">
      <c r="A25" s="72" t="s">
        <v>132</v>
      </c>
      <c r="B25" s="73">
        <f>C24-B24</f>
        <v>8.8481286366004497E-4</v>
      </c>
      <c r="C25" s="74"/>
      <c r="D25" s="17"/>
      <c r="E25" s="17"/>
      <c r="F25" s="17"/>
      <c r="G25" s="17"/>
    </row>
    <row r="27" spans="1:7" x14ac:dyDescent="0.3">
      <c r="A27" s="2">
        <v>14.41</v>
      </c>
      <c r="B27" s="2"/>
      <c r="C27" s="2"/>
      <c r="D27" s="2"/>
      <c r="E27" s="2"/>
    </row>
    <row r="28" spans="1:7" x14ac:dyDescent="0.3">
      <c r="A28" s="2"/>
      <c r="B28" s="2"/>
      <c r="C28" s="2"/>
      <c r="D28" s="2"/>
      <c r="E28" s="2"/>
    </row>
    <row r="29" spans="1:7" x14ac:dyDescent="0.3">
      <c r="A29" s="2">
        <v>1901</v>
      </c>
      <c r="B29" s="26">
        <v>150000</v>
      </c>
      <c r="C29" s="2"/>
      <c r="D29" s="2"/>
      <c r="E29" s="2"/>
    </row>
    <row r="30" spans="1:7" x14ac:dyDescent="0.3">
      <c r="A30" s="2">
        <v>1996</v>
      </c>
      <c r="B30" s="26">
        <v>653000</v>
      </c>
      <c r="C30" s="2"/>
      <c r="D30" s="2"/>
      <c r="E30" s="2"/>
    </row>
    <row r="31" spans="1:7" x14ac:dyDescent="0.3">
      <c r="A31" s="2">
        <v>2014</v>
      </c>
      <c r="B31" s="26">
        <v>1030000</v>
      </c>
      <c r="C31" s="2"/>
      <c r="D31" s="2"/>
      <c r="E31" s="2"/>
    </row>
    <row r="32" spans="1:7" x14ac:dyDescent="0.3">
      <c r="A32" s="2"/>
      <c r="B32" s="2"/>
      <c r="C32" s="2"/>
      <c r="D32" s="2"/>
      <c r="E32" s="2"/>
    </row>
    <row r="33" spans="1:7" x14ac:dyDescent="0.3">
      <c r="A33" s="2" t="s">
        <v>11</v>
      </c>
      <c r="B33" s="26">
        <v>18</v>
      </c>
      <c r="C33" s="2"/>
      <c r="D33" s="2" t="s">
        <v>2</v>
      </c>
      <c r="E33" s="4">
        <v>0.05</v>
      </c>
    </row>
    <row r="34" spans="1:7" x14ac:dyDescent="0.3">
      <c r="A34" s="2" t="s">
        <v>122</v>
      </c>
      <c r="B34" s="10">
        <v>2.5641960583331524E-2</v>
      </c>
      <c r="C34" s="2"/>
      <c r="D34" s="2" t="s">
        <v>122</v>
      </c>
      <c r="E34" s="4">
        <v>0.03</v>
      </c>
    </row>
    <row r="35" spans="1:7" x14ac:dyDescent="0.3">
      <c r="A35" s="2" t="s">
        <v>133</v>
      </c>
      <c r="B35" s="2">
        <f>B31/(1+B34)^B33</f>
        <v>653000.00000002689</v>
      </c>
      <c r="C35" s="2"/>
      <c r="D35" s="2" t="s">
        <v>125</v>
      </c>
      <c r="E35" s="10">
        <f>E33+E34+E33*E34</f>
        <v>8.1500000000000003E-2</v>
      </c>
    </row>
    <row r="36" spans="1:7" x14ac:dyDescent="0.3">
      <c r="A36" s="2"/>
      <c r="B36" s="2"/>
      <c r="C36" s="2"/>
      <c r="D36" s="2" t="s">
        <v>11</v>
      </c>
      <c r="E36" s="2">
        <v>6</v>
      </c>
    </row>
    <row r="37" spans="1:7" x14ac:dyDescent="0.3">
      <c r="A37" s="2"/>
      <c r="B37" s="2"/>
      <c r="C37" s="2"/>
      <c r="D37" s="2">
        <v>2020</v>
      </c>
      <c r="E37" s="22">
        <f>B31*(1+E35)^E36</f>
        <v>1648148.6055744856</v>
      </c>
    </row>
    <row r="39" spans="1:7" x14ac:dyDescent="0.3">
      <c r="A39" s="17">
        <v>14.56</v>
      </c>
      <c r="B39" s="17"/>
      <c r="C39" s="17"/>
      <c r="D39" s="17"/>
      <c r="E39" s="17"/>
      <c r="F39" s="17"/>
      <c r="G39" s="17"/>
    </row>
    <row r="40" spans="1:7" x14ac:dyDescent="0.3">
      <c r="A40" s="17" t="s">
        <v>134</v>
      </c>
      <c r="B40" s="19">
        <v>0.12</v>
      </c>
      <c r="C40" s="17"/>
      <c r="D40" s="17"/>
      <c r="E40" s="17" t="s">
        <v>4</v>
      </c>
      <c r="F40" s="17" t="s">
        <v>65</v>
      </c>
      <c r="G40" s="17"/>
    </row>
    <row r="41" spans="1:7" x14ac:dyDescent="0.3">
      <c r="A41" s="17" t="s">
        <v>122</v>
      </c>
      <c r="B41" s="19">
        <v>7.0000000000000007E-2</v>
      </c>
      <c r="C41" s="17"/>
      <c r="D41" s="17" t="s">
        <v>126</v>
      </c>
      <c r="E41" s="30">
        <v>-150000</v>
      </c>
      <c r="F41" s="30">
        <v>-1025000</v>
      </c>
      <c r="G41" s="17"/>
    </row>
    <row r="42" spans="1:7" x14ac:dyDescent="0.3">
      <c r="A42" s="17" t="s">
        <v>125</v>
      </c>
      <c r="B42" s="55">
        <f>B41+B40+B41*B40</f>
        <v>0.19839999999999999</v>
      </c>
      <c r="C42" s="17"/>
      <c r="D42" s="17" t="s">
        <v>135</v>
      </c>
      <c r="E42" s="30">
        <v>-70000</v>
      </c>
      <c r="F42" s="30">
        <v>-5000</v>
      </c>
      <c r="G42" s="17"/>
    </row>
    <row r="43" spans="1:7" x14ac:dyDescent="0.3">
      <c r="A43" s="17"/>
      <c r="B43" s="17"/>
      <c r="C43" s="17"/>
      <c r="D43" s="17" t="s">
        <v>128</v>
      </c>
      <c r="E43" s="30">
        <v>40000</v>
      </c>
      <c r="F43" s="30">
        <v>200000</v>
      </c>
      <c r="G43" s="17"/>
    </row>
    <row r="44" spans="1:7" x14ac:dyDescent="0.3">
      <c r="A44" s="17"/>
      <c r="B44" s="17"/>
      <c r="C44" s="17"/>
      <c r="D44" s="17" t="s">
        <v>79</v>
      </c>
      <c r="E44" s="30">
        <v>5</v>
      </c>
      <c r="F44" s="30" t="s">
        <v>136</v>
      </c>
      <c r="G44" s="17" t="s">
        <v>137</v>
      </c>
    </row>
    <row r="45" spans="1:7" x14ac:dyDescent="0.3">
      <c r="A45" s="17"/>
      <c r="B45" s="17"/>
      <c r="C45" s="17"/>
      <c r="D45" s="17"/>
      <c r="E45" s="30"/>
      <c r="F45" s="30"/>
      <c r="G45" s="17"/>
    </row>
    <row r="46" spans="1:7" x14ac:dyDescent="0.3">
      <c r="A46" s="75" t="s">
        <v>140</v>
      </c>
      <c r="B46" s="75"/>
      <c r="C46" s="75"/>
      <c r="D46" s="17"/>
      <c r="E46" s="75" t="s">
        <v>125</v>
      </c>
      <c r="F46" s="75"/>
      <c r="G46" s="75"/>
    </row>
    <row r="47" spans="1:7" x14ac:dyDescent="0.3">
      <c r="A47" s="17" t="s">
        <v>133</v>
      </c>
      <c r="B47" s="17" t="s">
        <v>4</v>
      </c>
      <c r="C47" s="17" t="s">
        <v>65</v>
      </c>
      <c r="D47" s="17"/>
      <c r="E47" s="17" t="s">
        <v>138</v>
      </c>
      <c r="F47" s="17" t="s">
        <v>4</v>
      </c>
      <c r="G47" s="17" t="s">
        <v>65</v>
      </c>
    </row>
    <row r="48" spans="1:7" x14ac:dyDescent="0.3">
      <c r="A48" s="17" t="s">
        <v>126</v>
      </c>
      <c r="B48" s="30">
        <f>-PMT(B40,E44,E41)</f>
        <v>-41611.459791157336</v>
      </c>
      <c r="C48" s="30">
        <f>F41*B40</f>
        <v>-123000</v>
      </c>
      <c r="D48" s="17"/>
      <c r="E48" s="17" t="s">
        <v>126</v>
      </c>
      <c r="F48" s="30">
        <f>-PMT(B42,E44,E41)</f>
        <v>-49980.476879654205</v>
      </c>
      <c r="G48" s="30">
        <f>F41*B42</f>
        <v>-203360</v>
      </c>
    </row>
    <row r="49" spans="1:7" x14ac:dyDescent="0.3">
      <c r="A49" s="17" t="s">
        <v>135</v>
      </c>
      <c r="B49" s="30">
        <f>E42</f>
        <v>-70000</v>
      </c>
      <c r="C49" s="30">
        <f>F42</f>
        <v>-5000</v>
      </c>
      <c r="D49" s="17"/>
      <c r="E49" s="17" t="s">
        <v>135</v>
      </c>
      <c r="F49" s="30">
        <f>E42</f>
        <v>-70000</v>
      </c>
      <c r="G49" s="30">
        <f>F42</f>
        <v>-5000</v>
      </c>
    </row>
    <row r="50" spans="1:7" x14ac:dyDescent="0.3">
      <c r="A50" s="17" t="s">
        <v>128</v>
      </c>
      <c r="B50" s="30">
        <f>-PMT(B40,E44,,E43)</f>
        <v>6296.3892776419571</v>
      </c>
      <c r="C50" s="30">
        <v>0</v>
      </c>
      <c r="D50" s="17"/>
      <c r="E50" s="17" t="s">
        <v>128</v>
      </c>
      <c r="F50" s="30">
        <f>-PMT(B42,E44,,E43)</f>
        <v>5392.1271679077881</v>
      </c>
      <c r="G50" s="30">
        <v>0</v>
      </c>
    </row>
    <row r="51" spans="1:7" x14ac:dyDescent="0.3">
      <c r="A51" s="17" t="s">
        <v>129</v>
      </c>
      <c r="B51" s="30">
        <f>SUM(B48:B50)</f>
        <v>-105315.07051351538</v>
      </c>
      <c r="C51" s="30">
        <f>SUM(C48:C50)</f>
        <v>-128000</v>
      </c>
      <c r="D51" s="17"/>
      <c r="E51" s="17" t="s">
        <v>129</v>
      </c>
      <c r="F51" s="49">
        <f>SUM(F48:F50)</f>
        <v>-114588.34971174641</v>
      </c>
      <c r="G51" s="49">
        <f>SUM(G48:G50)</f>
        <v>-208360</v>
      </c>
    </row>
    <row r="52" spans="1:7" x14ac:dyDescent="0.3">
      <c r="A52" s="17" t="s">
        <v>139</v>
      </c>
      <c r="B52" s="17"/>
      <c r="C52" s="17"/>
      <c r="D52" s="17"/>
      <c r="E52" s="17" t="s">
        <v>139</v>
      </c>
      <c r="F52" s="17"/>
      <c r="G52" s="17"/>
    </row>
    <row r="54" spans="1:7" x14ac:dyDescent="0.3">
      <c r="A54" s="17">
        <v>14.67</v>
      </c>
      <c r="B54" s="17"/>
      <c r="C54" s="17"/>
      <c r="D54" s="17"/>
      <c r="E54" s="17"/>
    </row>
    <row r="55" spans="1:7" x14ac:dyDescent="0.3">
      <c r="A55" s="17"/>
      <c r="B55" s="17"/>
      <c r="C55" s="17"/>
      <c r="D55" s="17"/>
      <c r="E55" s="17"/>
    </row>
    <row r="56" spans="1:7" x14ac:dyDescent="0.3">
      <c r="A56" s="17" t="s">
        <v>50</v>
      </c>
      <c r="B56" s="17">
        <v>6000</v>
      </c>
      <c r="C56" s="17"/>
      <c r="D56" s="17" t="s">
        <v>141</v>
      </c>
      <c r="E56" s="30">
        <f>-FV(B58,B57,B56)</f>
        <v>2655555.3340905644</v>
      </c>
    </row>
    <row r="57" spans="1:7" x14ac:dyDescent="0.3">
      <c r="A57" s="17" t="s">
        <v>11</v>
      </c>
      <c r="B57" s="17">
        <v>40</v>
      </c>
      <c r="C57" s="17"/>
      <c r="D57" s="17" t="s">
        <v>142</v>
      </c>
      <c r="E57" s="30">
        <f>E56/(1+B59)^B57</f>
        <v>377210.16931703646</v>
      </c>
    </row>
    <row r="58" spans="1:7" x14ac:dyDescent="0.3">
      <c r="A58" s="17" t="s">
        <v>2</v>
      </c>
      <c r="B58" s="19">
        <v>0.1</v>
      </c>
      <c r="C58" s="17"/>
      <c r="D58" s="17"/>
      <c r="E58" s="17"/>
    </row>
    <row r="59" spans="1:7" x14ac:dyDescent="0.3">
      <c r="A59" s="17" t="s">
        <v>122</v>
      </c>
      <c r="B59" s="19">
        <v>0.05</v>
      </c>
      <c r="C59" s="17"/>
      <c r="D59" s="17"/>
      <c r="E59" s="17"/>
    </row>
  </sheetData>
  <mergeCells count="2">
    <mergeCell ref="A46:C46"/>
    <mergeCell ref="E46:G46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5A575-C43A-42FD-904E-6A1060EAEE8A}">
  <dimension ref="A1:Q124"/>
  <sheetViews>
    <sheetView tabSelected="1" topLeftCell="A92" zoomScale="85" zoomScaleNormal="85" workbookViewId="0">
      <selection activeCell="G112" sqref="G112"/>
    </sheetView>
  </sheetViews>
  <sheetFormatPr defaultRowHeight="16.5" x14ac:dyDescent="0.3"/>
  <cols>
    <col min="1" max="1" width="10.875" bestFit="1" customWidth="1"/>
    <col min="2" max="2" width="14.25" bestFit="1" customWidth="1"/>
    <col min="3" max="4" width="11.5" bestFit="1" customWidth="1"/>
    <col min="5" max="5" width="9.875" bestFit="1" customWidth="1"/>
    <col min="6" max="7" width="11.5" bestFit="1" customWidth="1"/>
    <col min="8" max="9" width="11.75" bestFit="1" customWidth="1"/>
    <col min="10" max="10" width="14.25" bestFit="1" customWidth="1"/>
    <col min="11" max="11" width="11.75" bestFit="1" customWidth="1"/>
    <col min="12" max="12" width="10.25" bestFit="1" customWidth="1"/>
    <col min="13" max="13" width="9.25" bestFit="1" customWidth="1"/>
    <col min="14" max="17" width="10.25" bestFit="1" customWidth="1"/>
  </cols>
  <sheetData>
    <row r="1" spans="1:17" x14ac:dyDescent="0.3">
      <c r="A1" s="17">
        <v>17.28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</row>
    <row r="2" spans="1:17" x14ac:dyDescent="0.3">
      <c r="A2" s="17" t="s">
        <v>149</v>
      </c>
      <c r="B2" s="17"/>
      <c r="C2" s="17"/>
      <c r="D2" s="17"/>
      <c r="E2" s="17"/>
      <c r="F2" s="17"/>
      <c r="G2" s="19">
        <v>0.3</v>
      </c>
      <c r="H2" s="17"/>
      <c r="I2" s="17"/>
      <c r="J2" s="17" t="s">
        <v>152</v>
      </c>
      <c r="K2" s="17"/>
      <c r="L2" s="17"/>
      <c r="M2" s="17"/>
      <c r="N2" s="17"/>
      <c r="O2" s="17"/>
      <c r="P2" s="19">
        <v>0.3</v>
      </c>
      <c r="Q2" s="17"/>
    </row>
    <row r="3" spans="1:17" x14ac:dyDescent="0.3">
      <c r="A3" s="17" t="s">
        <v>69</v>
      </c>
      <c r="B3" s="17" t="s">
        <v>144</v>
      </c>
      <c r="C3" s="17" t="s">
        <v>143</v>
      </c>
      <c r="D3" s="17" t="s">
        <v>81</v>
      </c>
      <c r="E3" s="17" t="s">
        <v>153</v>
      </c>
      <c r="F3" s="17" t="s">
        <v>146</v>
      </c>
      <c r="G3" s="17" t="s">
        <v>147</v>
      </c>
      <c r="H3" s="17" t="s">
        <v>148</v>
      </c>
      <c r="I3" s="17"/>
      <c r="J3" s="17" t="s">
        <v>69</v>
      </c>
      <c r="K3" s="17" t="s">
        <v>144</v>
      </c>
      <c r="L3" s="17" t="s">
        <v>143</v>
      </c>
      <c r="M3" s="17" t="s">
        <v>81</v>
      </c>
      <c r="N3" s="17" t="s">
        <v>153</v>
      </c>
      <c r="O3" s="17" t="s">
        <v>146</v>
      </c>
      <c r="P3" s="17" t="s">
        <v>147</v>
      </c>
      <c r="Q3" s="17" t="s">
        <v>148</v>
      </c>
    </row>
    <row r="4" spans="1:17" x14ac:dyDescent="0.3">
      <c r="A4" s="17">
        <v>0</v>
      </c>
      <c r="B4" s="30">
        <v>-280000</v>
      </c>
      <c r="C4" s="30">
        <f>B4</f>
        <v>-280000</v>
      </c>
      <c r="D4" s="30">
        <v>0</v>
      </c>
      <c r="E4" s="30">
        <v>280000</v>
      </c>
      <c r="F4" s="30">
        <v>0</v>
      </c>
      <c r="G4" s="30">
        <v>0</v>
      </c>
      <c r="H4" s="30">
        <f>B4</f>
        <v>-280000</v>
      </c>
      <c r="I4" s="17"/>
      <c r="J4" s="17">
        <v>0</v>
      </c>
      <c r="K4" s="30">
        <v>-280000</v>
      </c>
      <c r="L4" s="30">
        <f>K4</f>
        <v>-280000</v>
      </c>
      <c r="M4" s="30">
        <v>0</v>
      </c>
      <c r="N4" s="30">
        <f>-L4</f>
        <v>280000</v>
      </c>
      <c r="O4" s="30">
        <v>0</v>
      </c>
      <c r="P4" s="30">
        <v>0</v>
      </c>
      <c r="Q4" s="30">
        <f>K4</f>
        <v>-280000</v>
      </c>
    </row>
    <row r="5" spans="1:17" x14ac:dyDescent="0.3">
      <c r="A5" s="17">
        <v>1</v>
      </c>
      <c r="B5" s="30"/>
      <c r="C5" s="30">
        <v>100000</v>
      </c>
      <c r="D5" s="30">
        <f>(-$B$4-$B$10)/6</f>
        <v>40000</v>
      </c>
      <c r="E5" s="30">
        <f>E4-D5</f>
        <v>240000</v>
      </c>
      <c r="F5" s="30">
        <f>C5-D5</f>
        <v>60000</v>
      </c>
      <c r="G5" s="30">
        <f>F5*$G$2</f>
        <v>18000</v>
      </c>
      <c r="H5" s="30">
        <f>C5-G5</f>
        <v>82000</v>
      </c>
      <c r="I5" s="17"/>
      <c r="J5" s="17">
        <v>1</v>
      </c>
      <c r="K5" s="30"/>
      <c r="L5" s="30">
        <v>100000</v>
      </c>
      <c r="M5" s="30">
        <f>DDB(-$K$4,$K$10,$J$12,J5)</f>
        <v>70000</v>
      </c>
      <c r="N5" s="30">
        <f>N4-M5</f>
        <v>210000</v>
      </c>
      <c r="O5" s="30">
        <f>L5-M5</f>
        <v>30000</v>
      </c>
      <c r="P5" s="30">
        <f>O5*$G$2</f>
        <v>9000</v>
      </c>
      <c r="Q5" s="30">
        <f>L5-P5</f>
        <v>91000</v>
      </c>
    </row>
    <row r="6" spans="1:17" x14ac:dyDescent="0.3">
      <c r="A6" s="17">
        <v>2</v>
      </c>
      <c r="B6" s="51" t="s">
        <v>145</v>
      </c>
      <c r="C6" s="30">
        <v>100000</v>
      </c>
      <c r="D6" s="30">
        <f t="shared" ref="D6:D10" si="0">(-$B$4-$B$10)/6</f>
        <v>40000</v>
      </c>
      <c r="E6" s="30">
        <f t="shared" ref="E6:E12" si="1">E5-D6</f>
        <v>200000</v>
      </c>
      <c r="F6" s="30">
        <f t="shared" ref="F6:F12" si="2">C6-D6</f>
        <v>60000</v>
      </c>
      <c r="G6" s="30">
        <f t="shared" ref="G6:G12" si="3">F6*$G$2</f>
        <v>18000</v>
      </c>
      <c r="H6" s="30">
        <f t="shared" ref="H6:H12" si="4">C6-G6</f>
        <v>82000</v>
      </c>
      <c r="I6" s="17"/>
      <c r="J6" s="17">
        <v>2</v>
      </c>
      <c r="K6" s="51" t="s">
        <v>145</v>
      </c>
      <c r="L6" s="30">
        <v>100000</v>
      </c>
      <c r="M6" s="30">
        <f t="shared" ref="M6:M12" si="5">DDB(-$K$4,$K$10,$J$12,J6)</f>
        <v>52500</v>
      </c>
      <c r="N6" s="30">
        <f t="shared" ref="N6:N12" si="6">N5-M6</f>
        <v>157500</v>
      </c>
      <c r="O6" s="30">
        <f t="shared" ref="O6:O12" si="7">L6-M6</f>
        <v>47500</v>
      </c>
      <c r="P6" s="30">
        <f t="shared" ref="P6:P12" si="8">O6*$G$2</f>
        <v>14250</v>
      </c>
      <c r="Q6" s="30">
        <f t="shared" ref="Q6:Q12" si="9">L6-P6</f>
        <v>85750</v>
      </c>
    </row>
    <row r="7" spans="1:17" x14ac:dyDescent="0.3">
      <c r="A7" s="17">
        <v>3</v>
      </c>
      <c r="B7" s="30"/>
      <c r="C7" s="30">
        <v>100000</v>
      </c>
      <c r="D7" s="30">
        <f t="shared" si="0"/>
        <v>40000</v>
      </c>
      <c r="E7" s="30">
        <f t="shared" si="1"/>
        <v>160000</v>
      </c>
      <c r="F7" s="30">
        <f t="shared" si="2"/>
        <v>60000</v>
      </c>
      <c r="G7" s="30">
        <f t="shared" si="3"/>
        <v>18000</v>
      </c>
      <c r="H7" s="30">
        <f t="shared" si="4"/>
        <v>82000</v>
      </c>
      <c r="I7" s="17"/>
      <c r="J7" s="17">
        <v>3</v>
      </c>
      <c r="K7" s="30"/>
      <c r="L7" s="30">
        <v>100000</v>
      </c>
      <c r="M7" s="30">
        <f t="shared" si="5"/>
        <v>39375</v>
      </c>
      <c r="N7" s="30">
        <f t="shared" si="6"/>
        <v>118125</v>
      </c>
      <c r="O7" s="30">
        <f t="shared" si="7"/>
        <v>60625</v>
      </c>
      <c r="P7" s="30">
        <f t="shared" si="8"/>
        <v>18187.5</v>
      </c>
      <c r="Q7" s="30">
        <f t="shared" si="9"/>
        <v>81812.5</v>
      </c>
    </row>
    <row r="8" spans="1:17" x14ac:dyDescent="0.3">
      <c r="A8" s="17">
        <v>4</v>
      </c>
      <c r="B8" s="51" t="s">
        <v>145</v>
      </c>
      <c r="C8" s="30">
        <v>100000</v>
      </c>
      <c r="D8" s="30">
        <f t="shared" si="0"/>
        <v>40000</v>
      </c>
      <c r="E8" s="30">
        <f t="shared" si="1"/>
        <v>120000</v>
      </c>
      <c r="F8" s="30">
        <f t="shared" si="2"/>
        <v>60000</v>
      </c>
      <c r="G8" s="30">
        <f t="shared" si="3"/>
        <v>18000</v>
      </c>
      <c r="H8" s="30">
        <f t="shared" si="4"/>
        <v>82000</v>
      </c>
      <c r="I8" s="17"/>
      <c r="J8" s="17">
        <v>4</v>
      </c>
      <c r="K8" s="51" t="s">
        <v>145</v>
      </c>
      <c r="L8" s="30">
        <v>100000</v>
      </c>
      <c r="M8" s="30">
        <f t="shared" si="5"/>
        <v>29531.25</v>
      </c>
      <c r="N8" s="30">
        <f t="shared" si="6"/>
        <v>88593.75</v>
      </c>
      <c r="O8" s="30">
        <f t="shared" si="7"/>
        <v>70468.75</v>
      </c>
      <c r="P8" s="30">
        <f t="shared" si="8"/>
        <v>21140.625</v>
      </c>
      <c r="Q8" s="30">
        <f t="shared" si="9"/>
        <v>78859.375</v>
      </c>
    </row>
    <row r="9" spans="1:17" x14ac:dyDescent="0.3">
      <c r="A9" s="17">
        <v>5</v>
      </c>
      <c r="B9" s="51" t="s">
        <v>145</v>
      </c>
      <c r="C9" s="30">
        <v>100000</v>
      </c>
      <c r="D9" s="30">
        <f t="shared" si="0"/>
        <v>40000</v>
      </c>
      <c r="E9" s="30">
        <f t="shared" si="1"/>
        <v>80000</v>
      </c>
      <c r="F9" s="30">
        <f t="shared" si="2"/>
        <v>60000</v>
      </c>
      <c r="G9" s="30">
        <f t="shared" si="3"/>
        <v>18000</v>
      </c>
      <c r="H9" s="30">
        <f t="shared" si="4"/>
        <v>82000</v>
      </c>
      <c r="I9" s="17"/>
      <c r="J9" s="17">
        <v>5</v>
      </c>
      <c r="K9" s="51" t="s">
        <v>145</v>
      </c>
      <c r="L9" s="30">
        <v>100000</v>
      </c>
      <c r="M9" s="30">
        <f t="shared" si="5"/>
        <v>22148.4375</v>
      </c>
      <c r="N9" s="30">
        <f t="shared" si="6"/>
        <v>66445.3125</v>
      </c>
      <c r="O9" s="30">
        <f t="shared" si="7"/>
        <v>77851.5625</v>
      </c>
      <c r="P9" s="30">
        <f t="shared" si="8"/>
        <v>23355.46875</v>
      </c>
      <c r="Q9" s="30">
        <f t="shared" si="9"/>
        <v>76644.53125</v>
      </c>
    </row>
    <row r="10" spans="1:17" x14ac:dyDescent="0.3">
      <c r="A10" s="17">
        <v>6</v>
      </c>
      <c r="B10" s="51">
        <v>40000</v>
      </c>
      <c r="C10" s="30">
        <v>100000</v>
      </c>
      <c r="D10" s="30">
        <f t="shared" si="0"/>
        <v>40000</v>
      </c>
      <c r="E10" s="30">
        <f t="shared" si="1"/>
        <v>40000</v>
      </c>
      <c r="F10" s="30">
        <f t="shared" si="2"/>
        <v>60000</v>
      </c>
      <c r="G10" s="30">
        <f t="shared" si="3"/>
        <v>18000</v>
      </c>
      <c r="H10" s="30">
        <f t="shared" si="4"/>
        <v>82000</v>
      </c>
      <c r="I10" s="17"/>
      <c r="J10" s="17">
        <v>6</v>
      </c>
      <c r="K10" s="51">
        <v>40000</v>
      </c>
      <c r="L10" s="30">
        <v>100000</v>
      </c>
      <c r="M10" s="30">
        <f t="shared" si="5"/>
        <v>16611.328125</v>
      </c>
      <c r="N10" s="30">
        <f t="shared" si="6"/>
        <v>49833.984375</v>
      </c>
      <c r="O10" s="30">
        <f t="shared" si="7"/>
        <v>83388.671875</v>
      </c>
      <c r="P10" s="30">
        <f t="shared" si="8"/>
        <v>25016.6015625</v>
      </c>
      <c r="Q10" s="30">
        <f t="shared" si="9"/>
        <v>74983.3984375</v>
      </c>
    </row>
    <row r="11" spans="1:17" x14ac:dyDescent="0.3">
      <c r="A11" s="17">
        <v>7</v>
      </c>
      <c r="B11" s="30"/>
      <c r="C11" s="30">
        <v>100000</v>
      </c>
      <c r="D11" s="30"/>
      <c r="E11" s="30">
        <f t="shared" si="1"/>
        <v>40000</v>
      </c>
      <c r="F11" s="30">
        <f t="shared" si="2"/>
        <v>100000</v>
      </c>
      <c r="G11" s="30">
        <f t="shared" si="3"/>
        <v>30000</v>
      </c>
      <c r="H11" s="30">
        <f t="shared" si="4"/>
        <v>70000</v>
      </c>
      <c r="I11" s="17"/>
      <c r="J11" s="17">
        <v>7</v>
      </c>
      <c r="K11" s="30"/>
      <c r="L11" s="30">
        <v>100000</v>
      </c>
      <c r="M11" s="30">
        <f t="shared" si="5"/>
        <v>9833.984375</v>
      </c>
      <c r="N11" s="30">
        <f t="shared" si="6"/>
        <v>40000</v>
      </c>
      <c r="O11" s="30">
        <f t="shared" si="7"/>
        <v>90166.015625</v>
      </c>
      <c r="P11" s="30">
        <f t="shared" si="8"/>
        <v>27049.8046875</v>
      </c>
      <c r="Q11" s="30">
        <f t="shared" si="9"/>
        <v>72950.1953125</v>
      </c>
    </row>
    <row r="12" spans="1:17" x14ac:dyDescent="0.3">
      <c r="A12" s="17">
        <v>8</v>
      </c>
      <c r="B12" s="30"/>
      <c r="C12" s="30">
        <v>100000</v>
      </c>
      <c r="D12" s="30"/>
      <c r="E12" s="30">
        <f t="shared" si="1"/>
        <v>40000</v>
      </c>
      <c r="F12" s="30">
        <f t="shared" si="2"/>
        <v>100000</v>
      </c>
      <c r="G12" s="30">
        <f t="shared" si="3"/>
        <v>30000</v>
      </c>
      <c r="H12" s="30">
        <f t="shared" si="4"/>
        <v>70000</v>
      </c>
      <c r="I12" s="17"/>
      <c r="J12" s="17">
        <v>8</v>
      </c>
      <c r="K12" s="30"/>
      <c r="L12" s="30">
        <v>100000</v>
      </c>
      <c r="M12" s="30">
        <f t="shared" si="5"/>
        <v>0</v>
      </c>
      <c r="N12" s="30">
        <f t="shared" si="6"/>
        <v>40000</v>
      </c>
      <c r="O12" s="30">
        <f t="shared" si="7"/>
        <v>100000</v>
      </c>
      <c r="P12" s="30">
        <f t="shared" si="8"/>
        <v>30000</v>
      </c>
      <c r="Q12" s="30">
        <f t="shared" si="9"/>
        <v>70000</v>
      </c>
    </row>
    <row r="13" spans="1:17" x14ac:dyDescent="0.3">
      <c r="A13" s="17"/>
      <c r="B13" s="17"/>
      <c r="C13" s="17"/>
      <c r="D13" s="17"/>
      <c r="E13" s="17"/>
      <c r="F13" s="17" t="s">
        <v>150</v>
      </c>
      <c r="G13" s="30">
        <f>SUM(G5:G12)</f>
        <v>168000</v>
      </c>
      <c r="H13" s="17"/>
      <c r="I13" s="17"/>
      <c r="J13" s="17"/>
      <c r="K13" s="17"/>
      <c r="L13" s="17"/>
      <c r="M13" s="17"/>
      <c r="N13" s="17"/>
      <c r="O13" s="17" t="s">
        <v>154</v>
      </c>
      <c r="P13" s="49">
        <f>SUM(P5:P12)</f>
        <v>168000</v>
      </c>
      <c r="Q13" s="17"/>
    </row>
    <row r="14" spans="1:17" x14ac:dyDescent="0.3">
      <c r="A14" s="17"/>
      <c r="B14" s="17"/>
      <c r="C14" s="17"/>
      <c r="D14" s="19"/>
      <c r="E14" s="19">
        <v>0.08</v>
      </c>
      <c r="F14" s="17" t="s">
        <v>151</v>
      </c>
      <c r="G14" s="30">
        <f>NPV(8%,G5:G12)</f>
        <v>116924.6123442247</v>
      </c>
      <c r="H14" s="17"/>
      <c r="I14" s="17"/>
      <c r="J14" s="17"/>
      <c r="K14" s="17"/>
      <c r="L14" s="17"/>
      <c r="M14" s="19"/>
      <c r="N14" s="19">
        <v>0.08</v>
      </c>
      <c r="O14" s="17" t="s">
        <v>151</v>
      </c>
      <c r="P14" s="30">
        <f>NPV(N14,P5:P12)</f>
        <v>114178.63571451609</v>
      </c>
      <c r="Q14" s="17"/>
    </row>
    <row r="15" spans="1:17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</row>
    <row r="16" spans="1:17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</row>
    <row r="17" spans="1:17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</row>
    <row r="18" spans="1:17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</row>
    <row r="19" spans="1:17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</row>
    <row r="20" spans="1:17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 spans="1:17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spans="1:17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pans="1:17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</row>
    <row r="24" spans="1:1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1:17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7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7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7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7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1" spans="1:17" x14ac:dyDescent="0.3">
      <c r="A31" s="17">
        <v>17.420000000000002</v>
      </c>
      <c r="B31" s="17"/>
      <c r="C31" s="17"/>
      <c r="D31" s="17"/>
      <c r="E31" s="17"/>
      <c r="F31" s="17"/>
      <c r="G31" s="17"/>
      <c r="H31" s="17"/>
    </row>
    <row r="32" spans="1:17" x14ac:dyDescent="0.3">
      <c r="A32" s="17" t="s">
        <v>149</v>
      </c>
      <c r="B32" s="17"/>
      <c r="C32" s="17"/>
      <c r="D32" s="17"/>
      <c r="E32" s="17"/>
      <c r="F32" s="17"/>
      <c r="G32" s="19">
        <v>0.52</v>
      </c>
      <c r="H32" s="17"/>
    </row>
    <row r="33" spans="1:9" x14ac:dyDescent="0.3">
      <c r="A33" s="17" t="s">
        <v>0</v>
      </c>
      <c r="B33" s="17" t="s">
        <v>143</v>
      </c>
      <c r="C33" s="17" t="s">
        <v>155</v>
      </c>
      <c r="D33" s="17" t="s">
        <v>156</v>
      </c>
      <c r="E33" s="17" t="s">
        <v>153</v>
      </c>
      <c r="F33" s="17" t="s">
        <v>146</v>
      </c>
      <c r="G33" s="17" t="s">
        <v>147</v>
      </c>
      <c r="H33" s="17" t="s">
        <v>148</v>
      </c>
    </row>
    <row r="34" spans="1:9" x14ac:dyDescent="0.3">
      <c r="A34" s="17">
        <v>0</v>
      </c>
      <c r="B34" s="17">
        <v>-1000000</v>
      </c>
      <c r="C34" s="17"/>
      <c r="D34" s="17"/>
      <c r="E34" s="17">
        <f>-B34</f>
        <v>1000000</v>
      </c>
      <c r="F34" s="17">
        <v>0</v>
      </c>
      <c r="G34" s="17">
        <v>0</v>
      </c>
      <c r="H34" s="17">
        <f>B34+C34-G34</f>
        <v>-1000000</v>
      </c>
    </row>
    <row r="35" spans="1:9" x14ac:dyDescent="0.3">
      <c r="A35" s="17">
        <v>1</v>
      </c>
      <c r="B35" s="17">
        <v>275000</v>
      </c>
      <c r="C35" s="17"/>
      <c r="D35" s="17">
        <f>(-$B$34)/4</f>
        <v>250000</v>
      </c>
      <c r="E35" s="17">
        <f>E34-D35</f>
        <v>750000</v>
      </c>
      <c r="F35" s="17">
        <f>B35-D35</f>
        <v>25000</v>
      </c>
      <c r="G35" s="17">
        <f>F35*$G$32</f>
        <v>13000</v>
      </c>
      <c r="H35" s="17">
        <f t="shared" ref="H35:H38" si="10">B35+C35-G35</f>
        <v>262000</v>
      </c>
    </row>
    <row r="36" spans="1:9" x14ac:dyDescent="0.3">
      <c r="A36" s="17">
        <v>2</v>
      </c>
      <c r="B36" s="17">
        <v>275000</v>
      </c>
      <c r="C36" s="17"/>
      <c r="D36" s="17">
        <f t="shared" ref="D36:D38" si="11">(-$B$34)/4</f>
        <v>250000</v>
      </c>
      <c r="E36" s="17">
        <f t="shared" ref="E36:E38" si="12">E35-D36</f>
        <v>500000</v>
      </c>
      <c r="F36" s="17">
        <f t="shared" ref="F36:F38" si="13">B36-D36</f>
        <v>25000</v>
      </c>
      <c r="G36" s="17">
        <f t="shared" ref="G36:G38" si="14">F36*$G$32</f>
        <v>13000</v>
      </c>
      <c r="H36" s="17">
        <f t="shared" si="10"/>
        <v>262000</v>
      </c>
    </row>
    <row r="37" spans="1:9" x14ac:dyDescent="0.3">
      <c r="A37" s="17">
        <v>3</v>
      </c>
      <c r="B37" s="17">
        <v>275000</v>
      </c>
      <c r="C37" s="17"/>
      <c r="D37" s="17">
        <f t="shared" si="11"/>
        <v>250000</v>
      </c>
      <c r="E37" s="17">
        <f t="shared" si="12"/>
        <v>250000</v>
      </c>
      <c r="F37" s="17">
        <f t="shared" si="13"/>
        <v>25000</v>
      </c>
      <c r="G37" s="17">
        <f t="shared" si="14"/>
        <v>13000</v>
      </c>
      <c r="H37" s="17">
        <f t="shared" si="10"/>
        <v>262000</v>
      </c>
    </row>
    <row r="38" spans="1:9" x14ac:dyDescent="0.3">
      <c r="A38" s="17">
        <v>4</v>
      </c>
      <c r="B38" s="17">
        <v>275000</v>
      </c>
      <c r="C38" s="17">
        <v>100000</v>
      </c>
      <c r="D38" s="17">
        <f t="shared" si="11"/>
        <v>250000</v>
      </c>
      <c r="E38" s="17">
        <f t="shared" si="12"/>
        <v>0</v>
      </c>
      <c r="F38" s="17">
        <f>B38-D38+C38</f>
        <v>125000</v>
      </c>
      <c r="G38" s="17">
        <f t="shared" si="14"/>
        <v>65000</v>
      </c>
      <c r="H38" s="17">
        <f t="shared" si="10"/>
        <v>310000</v>
      </c>
    </row>
    <row r="39" spans="1:9" x14ac:dyDescent="0.3">
      <c r="A39" s="17"/>
      <c r="B39" s="17"/>
      <c r="C39" s="17"/>
      <c r="D39" s="17"/>
      <c r="E39" s="17"/>
      <c r="F39" s="19">
        <v>0.05</v>
      </c>
      <c r="G39" s="17" t="s">
        <v>52</v>
      </c>
      <c r="H39" s="30">
        <f>NPV(F39,H35:H38)+H34</f>
        <v>-31471.249119451386</v>
      </c>
    </row>
    <row r="40" spans="1:9" x14ac:dyDescent="0.3">
      <c r="A40" s="17" t="s">
        <v>157</v>
      </c>
      <c r="B40" s="17"/>
      <c r="C40" s="17"/>
      <c r="D40" s="17"/>
      <c r="E40" s="17"/>
      <c r="F40" s="17"/>
      <c r="G40" s="17"/>
      <c r="H40" s="17"/>
    </row>
    <row r="42" spans="1:9" x14ac:dyDescent="0.3">
      <c r="A42" s="17">
        <v>17.52</v>
      </c>
      <c r="B42" s="17"/>
      <c r="C42" s="17"/>
      <c r="D42" s="17"/>
      <c r="E42" s="17"/>
      <c r="F42" s="17"/>
      <c r="G42" s="17"/>
      <c r="H42" s="17"/>
      <c r="I42" s="17"/>
    </row>
    <row r="43" spans="1:9" x14ac:dyDescent="0.3">
      <c r="A43" s="17" t="s">
        <v>32</v>
      </c>
      <c r="B43" s="17"/>
      <c r="C43" s="17"/>
      <c r="D43" s="17"/>
      <c r="E43" s="17"/>
      <c r="F43" s="17"/>
      <c r="G43" s="17"/>
      <c r="H43" s="19">
        <v>0.34</v>
      </c>
      <c r="I43" s="17"/>
    </row>
    <row r="44" spans="1:9" x14ac:dyDescent="0.3">
      <c r="A44" s="17" t="s">
        <v>0</v>
      </c>
      <c r="B44" s="17" t="s">
        <v>50</v>
      </c>
      <c r="C44" s="17" t="s">
        <v>78</v>
      </c>
      <c r="D44" s="17" t="s">
        <v>144</v>
      </c>
      <c r="E44" s="17" t="s">
        <v>143</v>
      </c>
      <c r="F44" s="17" t="s">
        <v>156</v>
      </c>
      <c r="G44" s="17" t="s">
        <v>146</v>
      </c>
      <c r="H44" s="17" t="s">
        <v>147</v>
      </c>
      <c r="I44" s="17" t="s">
        <v>148</v>
      </c>
    </row>
    <row r="45" spans="1:9" ht="17.25" thickBot="1" x14ac:dyDescent="0.35">
      <c r="A45" s="17">
        <v>0</v>
      </c>
      <c r="B45" s="17"/>
      <c r="C45" s="17"/>
      <c r="D45" s="17">
        <v>-100000</v>
      </c>
      <c r="E45" s="17">
        <f>B45+C45+D45</f>
        <v>-100000</v>
      </c>
      <c r="F45" s="17"/>
      <c r="G45" s="17"/>
      <c r="H45" s="17"/>
      <c r="I45" s="17">
        <f>E45-H45</f>
        <v>-100000</v>
      </c>
    </row>
    <row r="46" spans="1:9" x14ac:dyDescent="0.3">
      <c r="A46" s="56">
        <v>1</v>
      </c>
      <c r="B46" s="57">
        <v>35000</v>
      </c>
      <c r="C46" s="57">
        <v>-15000</v>
      </c>
      <c r="D46" s="57"/>
      <c r="E46" s="57">
        <f t="shared" ref="E46:E50" si="15">B46+C46+D46</f>
        <v>20000</v>
      </c>
      <c r="F46" s="57">
        <f>(-$D$45-$D$50)/5</f>
        <v>18000</v>
      </c>
      <c r="G46" s="57">
        <f>E46-F46</f>
        <v>2000</v>
      </c>
      <c r="H46" s="57">
        <f>G46*$H$43</f>
        <v>680</v>
      </c>
      <c r="I46" s="58">
        <f t="shared" ref="I46:I50" si="16">E46-H46</f>
        <v>19320</v>
      </c>
    </row>
    <row r="47" spans="1:9" x14ac:dyDescent="0.3">
      <c r="A47" s="59">
        <v>2</v>
      </c>
      <c r="B47" s="60">
        <v>35000</v>
      </c>
      <c r="C47" s="60">
        <v>-15000</v>
      </c>
      <c r="D47" s="60"/>
      <c r="E47" s="60">
        <f t="shared" si="15"/>
        <v>20000</v>
      </c>
      <c r="F47" s="60">
        <f t="shared" ref="F47:F50" si="17">(-$D$45-$D$50)/5</f>
        <v>18000</v>
      </c>
      <c r="G47" s="60">
        <f t="shared" ref="G47:G50" si="18">E47-F47</f>
        <v>2000</v>
      </c>
      <c r="H47" s="60">
        <f t="shared" ref="H47:H50" si="19">G47*$H$43</f>
        <v>680</v>
      </c>
      <c r="I47" s="61">
        <f t="shared" si="16"/>
        <v>19320</v>
      </c>
    </row>
    <row r="48" spans="1:9" x14ac:dyDescent="0.3">
      <c r="A48" s="59">
        <v>3</v>
      </c>
      <c r="B48" s="60">
        <v>35000</v>
      </c>
      <c r="C48" s="60">
        <v>-15000</v>
      </c>
      <c r="D48" s="60"/>
      <c r="E48" s="60">
        <f t="shared" si="15"/>
        <v>20000</v>
      </c>
      <c r="F48" s="60">
        <f t="shared" si="17"/>
        <v>18000</v>
      </c>
      <c r="G48" s="60">
        <f t="shared" si="18"/>
        <v>2000</v>
      </c>
      <c r="H48" s="60">
        <f t="shared" si="19"/>
        <v>680</v>
      </c>
      <c r="I48" s="61">
        <f t="shared" si="16"/>
        <v>19320</v>
      </c>
    </row>
    <row r="49" spans="1:9" ht="17.25" thickBot="1" x14ac:dyDescent="0.35">
      <c r="A49" s="72">
        <v>4</v>
      </c>
      <c r="B49" s="65">
        <v>35000</v>
      </c>
      <c r="C49" s="65">
        <v>-15000</v>
      </c>
      <c r="D49" s="65"/>
      <c r="E49" s="65">
        <f t="shared" si="15"/>
        <v>20000</v>
      </c>
      <c r="F49" s="65">
        <f t="shared" si="17"/>
        <v>18000</v>
      </c>
      <c r="G49" s="65">
        <f t="shared" si="18"/>
        <v>2000</v>
      </c>
      <c r="H49" s="65">
        <f t="shared" si="19"/>
        <v>680</v>
      </c>
      <c r="I49" s="66">
        <f t="shared" si="16"/>
        <v>19320</v>
      </c>
    </row>
    <row r="50" spans="1:9" x14ac:dyDescent="0.3">
      <c r="A50" s="17">
        <v>5</v>
      </c>
      <c r="B50" s="17">
        <v>35000</v>
      </c>
      <c r="C50" s="17">
        <v>-15000</v>
      </c>
      <c r="D50" s="17">
        <v>10000</v>
      </c>
      <c r="E50" s="60">
        <f>B50+C50</f>
        <v>20000</v>
      </c>
      <c r="F50" s="17">
        <f t="shared" si="17"/>
        <v>18000</v>
      </c>
      <c r="G50" s="17">
        <f t="shared" si="18"/>
        <v>2000</v>
      </c>
      <c r="H50" s="17">
        <f t="shared" si="19"/>
        <v>680</v>
      </c>
      <c r="I50" s="17">
        <f>E50-H50+D50</f>
        <v>29320</v>
      </c>
    </row>
    <row r="51" spans="1:9" x14ac:dyDescent="0.3">
      <c r="A51" s="17"/>
      <c r="B51" s="17"/>
      <c r="C51" s="17"/>
      <c r="D51" s="17"/>
      <c r="E51" s="17"/>
      <c r="F51" s="17"/>
      <c r="G51" s="19"/>
      <c r="H51" s="17"/>
      <c r="I51" s="54">
        <f>NPV(7%,I46:I50)+I45</f>
        <v>-13654.323742655819</v>
      </c>
    </row>
    <row r="52" spans="1:9" x14ac:dyDescent="0.3">
      <c r="A52" s="19">
        <v>7.0000000000000007E-2</v>
      </c>
      <c r="B52" s="17" t="s">
        <v>53</v>
      </c>
      <c r="C52" s="17" t="s">
        <v>160</v>
      </c>
      <c r="D52" s="17"/>
      <c r="E52" s="17"/>
      <c r="F52" s="17"/>
      <c r="G52" s="17"/>
      <c r="H52" s="17"/>
      <c r="I52" s="54">
        <f>PMT(7%,5,I51)</f>
        <v>3330.16249972367</v>
      </c>
    </row>
    <row r="53" spans="1:9" x14ac:dyDescent="0.3">
      <c r="A53" s="17" t="s">
        <v>126</v>
      </c>
      <c r="B53" s="76">
        <f>-PMT(A52,A50,D45)</f>
        <v>-24389.069444137407</v>
      </c>
      <c r="C53" s="17"/>
      <c r="D53" s="17"/>
      <c r="E53" s="17"/>
      <c r="F53" s="17"/>
      <c r="G53" s="17"/>
      <c r="H53" s="17"/>
      <c r="I53" s="54"/>
    </row>
    <row r="54" spans="1:9" x14ac:dyDescent="0.3">
      <c r="A54" s="17" t="s">
        <v>148</v>
      </c>
      <c r="B54" s="76">
        <f>I49</f>
        <v>19320</v>
      </c>
      <c r="C54" s="17"/>
      <c r="D54" s="17"/>
      <c r="E54" s="17"/>
      <c r="F54" s="17"/>
      <c r="G54" s="17"/>
      <c r="H54" s="17"/>
      <c r="I54" s="17"/>
    </row>
    <row r="55" spans="1:9" x14ac:dyDescent="0.3">
      <c r="A55" s="17" t="s">
        <v>128</v>
      </c>
      <c r="B55" s="76">
        <f>-PMT(A52,A50,,D50)</f>
        <v>1738.9069444137406</v>
      </c>
      <c r="C55" s="17"/>
      <c r="D55" s="17"/>
      <c r="E55" s="17"/>
      <c r="F55" s="17"/>
      <c r="G55" s="17"/>
      <c r="H55" s="17"/>
      <c r="I55" s="17"/>
    </row>
    <row r="56" spans="1:9" x14ac:dyDescent="0.3">
      <c r="A56" s="17" t="s">
        <v>159</v>
      </c>
      <c r="B56" s="76">
        <f>SUM(B53:B55)</f>
        <v>-3330.1624997236668</v>
      </c>
      <c r="C56" s="17"/>
      <c r="D56" s="17"/>
      <c r="E56" s="17"/>
      <c r="F56" s="17"/>
      <c r="G56" s="17"/>
      <c r="H56" s="17"/>
      <c r="I56" s="17"/>
    </row>
    <row r="57" spans="1:9" x14ac:dyDescent="0.3">
      <c r="A57" s="17"/>
      <c r="B57" s="17"/>
      <c r="C57" s="17"/>
      <c r="D57" s="17"/>
      <c r="E57" s="17"/>
      <c r="F57" s="17"/>
      <c r="G57" s="17"/>
      <c r="H57" s="17"/>
      <c r="I57" s="17"/>
    </row>
    <row r="58" spans="1:9" x14ac:dyDescent="0.3">
      <c r="A58" s="19">
        <v>7.0000000000000007E-2</v>
      </c>
      <c r="B58" s="17" t="s">
        <v>53</v>
      </c>
      <c r="C58" s="17" t="s">
        <v>32</v>
      </c>
      <c r="D58" s="17"/>
      <c r="E58" s="17"/>
      <c r="F58" s="17"/>
      <c r="G58" s="17"/>
      <c r="H58" s="19"/>
      <c r="I58" s="17"/>
    </row>
    <row r="59" spans="1:9" x14ac:dyDescent="0.3">
      <c r="A59" s="17" t="s">
        <v>126</v>
      </c>
      <c r="B59" s="54">
        <f>-PMT(A58,5,-150000)</f>
        <v>-36583.604166206118</v>
      </c>
      <c r="C59" s="17"/>
      <c r="D59" s="17"/>
      <c r="E59" s="17"/>
      <c r="F59" s="17"/>
      <c r="G59" s="17"/>
      <c r="H59" s="17"/>
      <c r="I59" s="17"/>
    </row>
    <row r="60" spans="1:9" x14ac:dyDescent="0.3">
      <c r="A60" s="17" t="s">
        <v>148</v>
      </c>
      <c r="B60" s="17">
        <f>I64</f>
        <v>34580</v>
      </c>
      <c r="C60" s="17"/>
      <c r="D60" s="17"/>
      <c r="E60" s="17"/>
      <c r="F60" s="17"/>
      <c r="G60" s="17"/>
      <c r="H60" s="17"/>
      <c r="I60" s="17"/>
    </row>
    <row r="61" spans="1:9" x14ac:dyDescent="0.3">
      <c r="A61" s="17" t="s">
        <v>128</v>
      </c>
      <c r="B61" s="54">
        <f>-PMT(A58,A50,,20000)</f>
        <v>3477.8138888274812</v>
      </c>
      <c r="C61" s="17"/>
      <c r="D61" s="17"/>
      <c r="E61" s="17"/>
      <c r="F61" s="17"/>
      <c r="G61" s="17"/>
      <c r="H61" s="17"/>
      <c r="I61" s="17"/>
    </row>
    <row r="62" spans="1:9" x14ac:dyDescent="0.3">
      <c r="A62" s="17" t="s">
        <v>159</v>
      </c>
      <c r="B62" s="54">
        <f>SUM(B59:B61)</f>
        <v>1474.2097226213632</v>
      </c>
      <c r="C62" s="17"/>
      <c r="D62" s="17"/>
      <c r="E62" s="17"/>
      <c r="F62" s="17"/>
      <c r="G62" s="17"/>
      <c r="H62" s="17"/>
      <c r="I62" s="17"/>
    </row>
    <row r="63" spans="1:9" x14ac:dyDescent="0.3">
      <c r="A63" s="17"/>
      <c r="B63" s="17"/>
      <c r="C63" s="17"/>
      <c r="D63" s="17"/>
      <c r="E63" s="17"/>
      <c r="F63" s="17"/>
      <c r="G63" s="17"/>
      <c r="H63" s="17"/>
      <c r="I63" s="17"/>
    </row>
    <row r="64" spans="1:9" x14ac:dyDescent="0.3">
      <c r="A64" s="17"/>
      <c r="B64" s="17">
        <v>45000</v>
      </c>
      <c r="C64" s="17">
        <v>-6000</v>
      </c>
      <c r="D64" s="17"/>
      <c r="E64" s="17">
        <f>B64+C64</f>
        <v>39000</v>
      </c>
      <c r="F64" s="17">
        <f>(150000-20000)/5</f>
        <v>26000</v>
      </c>
      <c r="G64" s="17">
        <f>E64-F64</f>
        <v>13000</v>
      </c>
      <c r="H64" s="17">
        <f>G64*H43</f>
        <v>4420</v>
      </c>
      <c r="I64" s="17">
        <f>E64-H64</f>
        <v>34580</v>
      </c>
    </row>
    <row r="66" spans="1:10" x14ac:dyDescent="0.3">
      <c r="A66" s="17">
        <v>17.559999999999999</v>
      </c>
      <c r="B66" s="17"/>
      <c r="C66" s="17"/>
      <c r="D66" s="17"/>
      <c r="E66" s="17"/>
      <c r="F66" s="17"/>
      <c r="G66" s="17"/>
      <c r="H66" s="17"/>
      <c r="I66" s="17"/>
      <c r="J66" s="17"/>
    </row>
    <row r="67" spans="1:10" x14ac:dyDescent="0.3">
      <c r="A67" s="17" t="s">
        <v>162</v>
      </c>
      <c r="B67" s="17"/>
      <c r="C67" s="17"/>
      <c r="D67" s="17"/>
      <c r="E67" s="17"/>
      <c r="F67" s="17"/>
      <c r="G67" s="17"/>
      <c r="H67" s="17"/>
      <c r="I67" s="19">
        <v>0.35</v>
      </c>
      <c r="J67" s="17"/>
    </row>
    <row r="68" spans="1:10" x14ac:dyDescent="0.3">
      <c r="A68" s="17" t="s">
        <v>0</v>
      </c>
      <c r="B68" s="17" t="s">
        <v>161</v>
      </c>
      <c r="C68" s="17" t="s">
        <v>158</v>
      </c>
      <c r="D68" s="17" t="s">
        <v>164</v>
      </c>
      <c r="E68" s="17" t="s">
        <v>144</v>
      </c>
      <c r="F68" s="17" t="s">
        <v>143</v>
      </c>
      <c r="G68" s="17" t="s">
        <v>81</v>
      </c>
      <c r="H68" s="17" t="s">
        <v>146</v>
      </c>
      <c r="I68" s="17" t="s">
        <v>147</v>
      </c>
      <c r="J68" s="17" t="s">
        <v>148</v>
      </c>
    </row>
    <row r="69" spans="1:10" x14ac:dyDescent="0.3">
      <c r="A69" s="17">
        <v>0</v>
      </c>
      <c r="B69" s="17">
        <v>2</v>
      </c>
      <c r="C69" s="17"/>
      <c r="D69" s="77"/>
      <c r="E69" s="17">
        <v>-100000</v>
      </c>
      <c r="F69" s="17">
        <f>E69</f>
        <v>-100000</v>
      </c>
      <c r="G69" s="17"/>
      <c r="H69" s="17"/>
      <c r="I69" s="17"/>
      <c r="J69" s="17">
        <f>E69</f>
        <v>-100000</v>
      </c>
    </row>
    <row r="70" spans="1:10" x14ac:dyDescent="0.3">
      <c r="A70" s="17">
        <v>1</v>
      </c>
      <c r="B70" s="17">
        <v>3</v>
      </c>
      <c r="C70" s="17"/>
      <c r="D70" s="77">
        <v>-120000</v>
      </c>
      <c r="E70" s="17"/>
      <c r="F70" s="17">
        <f>D70</f>
        <v>-120000</v>
      </c>
      <c r="G70" s="17">
        <v>-60000</v>
      </c>
      <c r="H70" s="17">
        <f>F70+G70</f>
        <v>-180000</v>
      </c>
      <c r="I70" s="17">
        <f>H70*$I$67</f>
        <v>-62999.999999999993</v>
      </c>
      <c r="J70" s="17">
        <f>F70-I70</f>
        <v>-57000.000000000007</v>
      </c>
    </row>
    <row r="71" spans="1:10" x14ac:dyDescent="0.3">
      <c r="A71" s="17">
        <v>2</v>
      </c>
      <c r="B71" s="17">
        <v>4</v>
      </c>
      <c r="C71" s="17"/>
      <c r="D71" s="17">
        <v>-120000</v>
      </c>
      <c r="E71" s="17"/>
      <c r="F71" s="17">
        <f t="shared" ref="F71:F72" si="20">D71</f>
        <v>-120000</v>
      </c>
      <c r="G71" s="17">
        <v>-60000</v>
      </c>
      <c r="H71" s="17">
        <f t="shared" ref="H71:H72" si="21">F71+G71</f>
        <v>-180000</v>
      </c>
      <c r="I71" s="17">
        <f t="shared" ref="I71:I72" si="22">H71*$I$67</f>
        <v>-62999.999999999993</v>
      </c>
      <c r="J71" s="17">
        <f t="shared" ref="J71:J72" si="23">F71-I71</f>
        <v>-57000.000000000007</v>
      </c>
    </row>
    <row r="72" spans="1:10" x14ac:dyDescent="0.3">
      <c r="A72" s="17">
        <v>3</v>
      </c>
      <c r="B72" s="17">
        <v>5</v>
      </c>
      <c r="C72" s="17"/>
      <c r="D72" s="17">
        <v>-120000</v>
      </c>
      <c r="E72" s="17"/>
      <c r="F72" s="17">
        <f t="shared" si="20"/>
        <v>-120000</v>
      </c>
      <c r="G72" s="17">
        <v>-60000</v>
      </c>
      <c r="H72" s="17">
        <f t="shared" si="21"/>
        <v>-180000</v>
      </c>
      <c r="I72" s="17">
        <f t="shared" si="22"/>
        <v>-62999.999999999993</v>
      </c>
      <c r="J72" s="17">
        <f t="shared" si="23"/>
        <v>-57000.000000000007</v>
      </c>
    </row>
    <row r="73" spans="1:10" x14ac:dyDescent="0.3">
      <c r="A73" s="17"/>
      <c r="B73" s="17"/>
      <c r="C73" s="17"/>
      <c r="D73" s="17"/>
      <c r="E73" s="17"/>
      <c r="F73" s="17"/>
      <c r="G73" s="17"/>
      <c r="H73" s="17"/>
      <c r="I73" s="17"/>
      <c r="J73" s="76">
        <f>NPV(15%,J70:J72)+J69</f>
        <v>-230143.83167584453</v>
      </c>
    </row>
    <row r="74" spans="1:10" x14ac:dyDescent="0.3">
      <c r="A74" s="17"/>
      <c r="B74" s="17"/>
      <c r="C74" s="17"/>
      <c r="D74" s="17"/>
      <c r="E74" s="17"/>
      <c r="F74" s="17"/>
      <c r="G74" s="17"/>
      <c r="H74" s="17"/>
      <c r="I74" s="17"/>
      <c r="J74" s="54">
        <f>-PMT(15%,3,J73)</f>
        <v>-100797.69618430528</v>
      </c>
    </row>
    <row r="75" spans="1:10" x14ac:dyDescent="0.3">
      <c r="A75" s="17"/>
      <c r="B75" s="17"/>
      <c r="C75" s="17"/>
      <c r="D75" s="17"/>
      <c r="E75" s="17"/>
      <c r="F75" s="17"/>
      <c r="G75" s="17"/>
      <c r="H75" s="17"/>
      <c r="I75" s="17"/>
      <c r="J75" s="76"/>
    </row>
    <row r="76" spans="1:10" x14ac:dyDescent="0.3">
      <c r="A76" s="17"/>
      <c r="B76" s="54"/>
      <c r="C76" s="17"/>
      <c r="D76" s="17"/>
      <c r="E76" s="17"/>
      <c r="F76" s="17"/>
      <c r="G76" s="17"/>
      <c r="H76" s="17"/>
      <c r="I76" s="17"/>
      <c r="J76" s="54"/>
    </row>
    <row r="77" spans="1:10" x14ac:dyDescent="0.3">
      <c r="A77" s="17"/>
      <c r="B77" s="17"/>
      <c r="C77" s="17"/>
      <c r="D77" s="17"/>
      <c r="E77" s="17"/>
      <c r="F77" s="17"/>
      <c r="G77" s="17"/>
      <c r="H77" s="17"/>
      <c r="I77" s="17"/>
      <c r="J77" s="17"/>
    </row>
    <row r="78" spans="1:10" x14ac:dyDescent="0.3">
      <c r="A78" s="17" t="s">
        <v>163</v>
      </c>
      <c r="B78" s="17"/>
      <c r="C78" s="17"/>
      <c r="D78" s="17"/>
      <c r="E78" s="17"/>
      <c r="F78" s="17"/>
      <c r="G78" s="17"/>
      <c r="H78" s="17"/>
      <c r="I78" s="19">
        <v>0.35</v>
      </c>
      <c r="J78" s="17"/>
    </row>
    <row r="79" spans="1:10" x14ac:dyDescent="0.3">
      <c r="A79" s="17" t="s">
        <v>0</v>
      </c>
      <c r="B79" s="17" t="s">
        <v>161</v>
      </c>
      <c r="C79" s="17" t="s">
        <v>158</v>
      </c>
      <c r="D79" s="17" t="s">
        <v>164</v>
      </c>
      <c r="E79" s="17" t="s">
        <v>144</v>
      </c>
      <c r="F79" s="17" t="s">
        <v>143</v>
      </c>
      <c r="G79" s="17" t="s">
        <v>81</v>
      </c>
      <c r="H79" s="17" t="s">
        <v>146</v>
      </c>
      <c r="I79" s="17" t="s">
        <v>147</v>
      </c>
      <c r="J79" s="17" t="s">
        <v>148</v>
      </c>
    </row>
    <row r="80" spans="1:10" x14ac:dyDescent="0.3">
      <c r="A80" s="17">
        <v>0</v>
      </c>
      <c r="B80" s="17">
        <v>0</v>
      </c>
      <c r="C80" s="17"/>
      <c r="D80" s="17"/>
      <c r="E80" s="17">
        <v>-420000</v>
      </c>
      <c r="F80" s="17">
        <f>E80</f>
        <v>-420000</v>
      </c>
      <c r="G80" s="17"/>
      <c r="H80" s="17">
        <f>-(300000-2*60000-100000)</f>
        <v>-80000</v>
      </c>
      <c r="I80" s="17">
        <f>H80*$I$78</f>
        <v>-28000</v>
      </c>
      <c r="J80" s="17">
        <f>F80-I80</f>
        <v>-392000</v>
      </c>
    </row>
    <row r="81" spans="1:11" x14ac:dyDescent="0.3">
      <c r="A81" s="17">
        <v>1</v>
      </c>
      <c r="B81" s="17">
        <v>1</v>
      </c>
      <c r="C81" s="17"/>
      <c r="D81" s="17">
        <v>-30000</v>
      </c>
      <c r="E81" s="17"/>
      <c r="F81" s="17">
        <f>D81</f>
        <v>-30000</v>
      </c>
      <c r="G81" s="17">
        <v>-140000</v>
      </c>
      <c r="H81" s="17">
        <f>F81+G81</f>
        <v>-170000</v>
      </c>
      <c r="I81" s="17">
        <f>H81*$I$78</f>
        <v>-59499.999999999993</v>
      </c>
      <c r="J81" s="17">
        <f>F81-I81</f>
        <v>29499.999999999993</v>
      </c>
    </row>
    <row r="82" spans="1:11" x14ac:dyDescent="0.3">
      <c r="A82" s="17">
        <v>2</v>
      </c>
      <c r="B82" s="17">
        <v>2</v>
      </c>
      <c r="C82" s="17"/>
      <c r="D82" s="17">
        <v>-30000</v>
      </c>
      <c r="E82" s="17"/>
      <c r="F82" s="17">
        <f t="shared" ref="F82:F83" si="24">D82</f>
        <v>-30000</v>
      </c>
      <c r="G82" s="17">
        <v>-140000</v>
      </c>
      <c r="H82" s="17">
        <f t="shared" ref="H82:H83" si="25">F82+G82</f>
        <v>-170000</v>
      </c>
      <c r="I82" s="17">
        <f t="shared" ref="I82:I83" si="26">H82*$I$78</f>
        <v>-59499.999999999993</v>
      </c>
      <c r="J82" s="17">
        <f t="shared" ref="J82:J83" si="27">F82-I82</f>
        <v>29499.999999999993</v>
      </c>
    </row>
    <row r="83" spans="1:11" x14ac:dyDescent="0.3">
      <c r="A83" s="17">
        <v>3</v>
      </c>
      <c r="B83" s="17">
        <v>3</v>
      </c>
      <c r="C83" s="17"/>
      <c r="D83" s="17">
        <v>-30000</v>
      </c>
      <c r="E83" s="17"/>
      <c r="F83" s="17">
        <f t="shared" si="24"/>
        <v>-30000</v>
      </c>
      <c r="G83" s="17">
        <v>-140000</v>
      </c>
      <c r="H83" s="17">
        <f t="shared" si="25"/>
        <v>-170000</v>
      </c>
      <c r="I83" s="17">
        <f t="shared" si="26"/>
        <v>-59499.999999999993</v>
      </c>
      <c r="J83" s="17">
        <f t="shared" si="27"/>
        <v>29499.999999999993</v>
      </c>
    </row>
    <row r="84" spans="1:11" x14ac:dyDescent="0.3">
      <c r="A84" s="17"/>
      <c r="B84" s="17"/>
      <c r="C84" s="17"/>
      <c r="D84" s="17"/>
      <c r="E84" s="17"/>
      <c r="F84" s="17"/>
      <c r="G84" s="17"/>
      <c r="H84" s="17"/>
      <c r="I84" s="17"/>
      <c r="J84" s="76">
        <f>NPV(15%,J81:J83)+J80</f>
        <v>-324644.85904495767</v>
      </c>
    </row>
    <row r="85" spans="1:11" x14ac:dyDescent="0.3">
      <c r="A85" s="17"/>
      <c r="B85" s="17"/>
      <c r="C85" s="17"/>
      <c r="D85" s="17"/>
      <c r="E85" s="17"/>
      <c r="F85" s="17"/>
      <c r="G85" s="17"/>
      <c r="H85" s="17"/>
      <c r="I85" s="17"/>
      <c r="J85" s="54">
        <f>-PMT(15%,3,J84)</f>
        <v>-142186.96904247664</v>
      </c>
    </row>
    <row r="87" spans="1:11" x14ac:dyDescent="0.3">
      <c r="A87" s="17">
        <v>17.66</v>
      </c>
      <c r="B87" s="17"/>
      <c r="C87" s="17"/>
      <c r="D87" s="17"/>
      <c r="E87" s="17"/>
      <c r="F87" s="17"/>
      <c r="G87" s="17"/>
      <c r="H87" s="17"/>
      <c r="I87" s="17"/>
      <c r="J87" s="17"/>
      <c r="K87" s="17"/>
    </row>
    <row r="88" spans="1:11" x14ac:dyDescent="0.3">
      <c r="A88" s="17" t="s">
        <v>165</v>
      </c>
      <c r="B88" s="17"/>
      <c r="C88" s="17"/>
      <c r="D88" s="17"/>
      <c r="E88" s="17"/>
      <c r="F88" s="17"/>
      <c r="G88" s="19"/>
      <c r="H88" s="19">
        <v>0.3</v>
      </c>
      <c r="I88" s="17"/>
      <c r="J88" s="19">
        <v>0.08</v>
      </c>
      <c r="K88" s="17"/>
    </row>
    <row r="89" spans="1:11" x14ac:dyDescent="0.3">
      <c r="A89" s="17" t="s">
        <v>0</v>
      </c>
      <c r="B89" s="17" t="s">
        <v>166</v>
      </c>
      <c r="C89" s="17" t="s">
        <v>3</v>
      </c>
      <c r="D89" s="17" t="s">
        <v>143</v>
      </c>
      <c r="E89" s="17" t="s">
        <v>156</v>
      </c>
      <c r="F89" s="17" t="s">
        <v>153</v>
      </c>
      <c r="G89" s="17" t="s">
        <v>146</v>
      </c>
      <c r="H89" s="17" t="s">
        <v>147</v>
      </c>
      <c r="I89" s="17" t="s">
        <v>167</v>
      </c>
      <c r="J89" s="17" t="s">
        <v>168</v>
      </c>
      <c r="K89" s="17" t="s">
        <v>148</v>
      </c>
    </row>
    <row r="90" spans="1:11" x14ac:dyDescent="0.3">
      <c r="A90" s="17">
        <v>0</v>
      </c>
      <c r="B90" s="30"/>
      <c r="C90" s="30">
        <v>-4200000</v>
      </c>
      <c r="D90" s="30">
        <f>C90</f>
        <v>-4200000</v>
      </c>
      <c r="E90" s="30"/>
      <c r="F90" s="30">
        <f>-D90</f>
        <v>4200000</v>
      </c>
      <c r="G90" s="30"/>
      <c r="H90" s="30"/>
      <c r="I90" s="30"/>
      <c r="J90" s="17"/>
      <c r="K90" s="49">
        <f>D90-H90</f>
        <v>-4200000</v>
      </c>
    </row>
    <row r="91" spans="1:11" x14ac:dyDescent="0.3">
      <c r="A91" s="17">
        <v>1</v>
      </c>
      <c r="B91" s="30">
        <v>1500000</v>
      </c>
      <c r="C91" s="30"/>
      <c r="D91" s="30">
        <f>B91</f>
        <v>1500000</v>
      </c>
      <c r="E91" s="30">
        <f>$D$90/8</f>
        <v>-525000</v>
      </c>
      <c r="F91" s="30">
        <f>F90+E91</f>
        <v>3675000</v>
      </c>
      <c r="G91" s="30">
        <f>D91+E91</f>
        <v>975000</v>
      </c>
      <c r="H91" s="30">
        <f>G91*$H$88</f>
        <v>292500</v>
      </c>
      <c r="I91" s="30">
        <f>G91-H91</f>
        <v>682500</v>
      </c>
      <c r="J91" s="49">
        <f>I91-F90*$J$88</f>
        <v>346500</v>
      </c>
      <c r="K91" s="49">
        <f t="shared" ref="K91:K98" si="28">D91-H91</f>
        <v>1207500</v>
      </c>
    </row>
    <row r="92" spans="1:11" x14ac:dyDescent="0.3">
      <c r="A92" s="17">
        <v>2</v>
      </c>
      <c r="B92" s="30">
        <f>B91+300000</f>
        <v>1800000</v>
      </c>
      <c r="C92" s="30"/>
      <c r="D92" s="30">
        <f t="shared" ref="D92:D98" si="29">B92</f>
        <v>1800000</v>
      </c>
      <c r="E92" s="30">
        <f t="shared" ref="E92:E98" si="30">$D$90/8</f>
        <v>-525000</v>
      </c>
      <c r="F92" s="30">
        <f t="shared" ref="F92:F98" si="31">F91+E92</f>
        <v>3150000</v>
      </c>
      <c r="G92" s="30">
        <f t="shared" ref="G92:G98" si="32">D92+E92</f>
        <v>1275000</v>
      </c>
      <c r="H92" s="30">
        <f t="shared" ref="H92:H98" si="33">G92*$H$88</f>
        <v>382500</v>
      </c>
      <c r="I92" s="30">
        <f t="shared" ref="I92:I98" si="34">G92-H92</f>
        <v>892500</v>
      </c>
      <c r="J92" s="49">
        <f t="shared" ref="J92:J98" si="35">I92-F91*$J$88</f>
        <v>598500</v>
      </c>
      <c r="K92" s="49">
        <f t="shared" si="28"/>
        <v>1417500</v>
      </c>
    </row>
    <row r="93" spans="1:11" x14ac:dyDescent="0.3">
      <c r="A93" s="17">
        <v>3</v>
      </c>
      <c r="B93" s="30">
        <f t="shared" ref="B93:B98" si="36">B92+300000</f>
        <v>2100000</v>
      </c>
      <c r="C93" s="30"/>
      <c r="D93" s="30">
        <f t="shared" si="29"/>
        <v>2100000</v>
      </c>
      <c r="E93" s="30">
        <f t="shared" si="30"/>
        <v>-525000</v>
      </c>
      <c r="F93" s="30">
        <f t="shared" si="31"/>
        <v>2625000</v>
      </c>
      <c r="G93" s="30">
        <f t="shared" si="32"/>
        <v>1575000</v>
      </c>
      <c r="H93" s="30">
        <f t="shared" si="33"/>
        <v>472500</v>
      </c>
      <c r="I93" s="30">
        <f t="shared" si="34"/>
        <v>1102500</v>
      </c>
      <c r="J93" s="49">
        <f t="shared" si="35"/>
        <v>850500</v>
      </c>
      <c r="K93" s="49">
        <f t="shared" si="28"/>
        <v>1627500</v>
      </c>
    </row>
    <row r="94" spans="1:11" x14ac:dyDescent="0.3">
      <c r="A94" s="17">
        <v>4</v>
      </c>
      <c r="B94" s="30">
        <f t="shared" si="36"/>
        <v>2400000</v>
      </c>
      <c r="C94" s="30"/>
      <c r="D94" s="30">
        <f t="shared" si="29"/>
        <v>2400000</v>
      </c>
      <c r="E94" s="30">
        <f t="shared" si="30"/>
        <v>-525000</v>
      </c>
      <c r="F94" s="30">
        <f t="shared" si="31"/>
        <v>2100000</v>
      </c>
      <c r="G94" s="30">
        <f t="shared" si="32"/>
        <v>1875000</v>
      </c>
      <c r="H94" s="30">
        <f t="shared" si="33"/>
        <v>562500</v>
      </c>
      <c r="I94" s="30">
        <f t="shared" si="34"/>
        <v>1312500</v>
      </c>
      <c r="J94" s="49">
        <f t="shared" si="35"/>
        <v>1102500</v>
      </c>
      <c r="K94" s="49">
        <f t="shared" si="28"/>
        <v>1837500</v>
      </c>
    </row>
    <row r="95" spans="1:11" x14ac:dyDescent="0.3">
      <c r="A95" s="17">
        <v>5</v>
      </c>
      <c r="B95" s="30">
        <f t="shared" si="36"/>
        <v>2700000</v>
      </c>
      <c r="C95" s="30"/>
      <c r="D95" s="30">
        <f t="shared" si="29"/>
        <v>2700000</v>
      </c>
      <c r="E95" s="30">
        <f t="shared" si="30"/>
        <v>-525000</v>
      </c>
      <c r="F95" s="30">
        <f t="shared" si="31"/>
        <v>1575000</v>
      </c>
      <c r="G95" s="30">
        <f t="shared" si="32"/>
        <v>2175000</v>
      </c>
      <c r="H95" s="30">
        <f t="shared" si="33"/>
        <v>652500</v>
      </c>
      <c r="I95" s="30">
        <f t="shared" si="34"/>
        <v>1522500</v>
      </c>
      <c r="J95" s="49">
        <f t="shared" si="35"/>
        <v>1354500</v>
      </c>
      <c r="K95" s="49">
        <f t="shared" si="28"/>
        <v>2047500</v>
      </c>
    </row>
    <row r="96" spans="1:11" x14ac:dyDescent="0.3">
      <c r="A96" s="17">
        <v>6</v>
      </c>
      <c r="B96" s="30">
        <f t="shared" si="36"/>
        <v>3000000</v>
      </c>
      <c r="C96" s="30"/>
      <c r="D96" s="30">
        <f t="shared" si="29"/>
        <v>3000000</v>
      </c>
      <c r="E96" s="30">
        <f t="shared" si="30"/>
        <v>-525000</v>
      </c>
      <c r="F96" s="30">
        <f t="shared" si="31"/>
        <v>1050000</v>
      </c>
      <c r="G96" s="30">
        <f t="shared" si="32"/>
        <v>2475000</v>
      </c>
      <c r="H96" s="30">
        <f t="shared" si="33"/>
        <v>742500</v>
      </c>
      <c r="I96" s="30">
        <f t="shared" si="34"/>
        <v>1732500</v>
      </c>
      <c r="J96" s="49">
        <f t="shared" si="35"/>
        <v>1606500</v>
      </c>
      <c r="K96" s="49">
        <f t="shared" si="28"/>
        <v>2257500</v>
      </c>
    </row>
    <row r="97" spans="1:11" x14ac:dyDescent="0.3">
      <c r="A97" s="17">
        <v>7</v>
      </c>
      <c r="B97" s="30">
        <f t="shared" si="36"/>
        <v>3300000</v>
      </c>
      <c r="C97" s="30"/>
      <c r="D97" s="30">
        <f t="shared" si="29"/>
        <v>3300000</v>
      </c>
      <c r="E97" s="30">
        <f t="shared" si="30"/>
        <v>-525000</v>
      </c>
      <c r="F97" s="30">
        <f t="shared" si="31"/>
        <v>525000</v>
      </c>
      <c r="G97" s="30">
        <f t="shared" si="32"/>
        <v>2775000</v>
      </c>
      <c r="H97" s="30">
        <f t="shared" si="33"/>
        <v>832500</v>
      </c>
      <c r="I97" s="30">
        <f t="shared" si="34"/>
        <v>1942500</v>
      </c>
      <c r="J97" s="49">
        <f t="shared" si="35"/>
        <v>1858500</v>
      </c>
      <c r="K97" s="49">
        <f t="shared" si="28"/>
        <v>2467500</v>
      </c>
    </row>
    <row r="98" spans="1:11" x14ac:dyDescent="0.3">
      <c r="A98" s="17">
        <v>8</v>
      </c>
      <c r="B98" s="30">
        <f t="shared" si="36"/>
        <v>3600000</v>
      </c>
      <c r="C98" s="30"/>
      <c r="D98" s="30">
        <f t="shared" si="29"/>
        <v>3600000</v>
      </c>
      <c r="E98" s="30">
        <f t="shared" si="30"/>
        <v>-525000</v>
      </c>
      <c r="F98" s="30">
        <f t="shared" si="31"/>
        <v>0</v>
      </c>
      <c r="G98" s="30">
        <f t="shared" si="32"/>
        <v>3075000</v>
      </c>
      <c r="H98" s="30">
        <f t="shared" si="33"/>
        <v>922500</v>
      </c>
      <c r="I98" s="30">
        <f t="shared" si="34"/>
        <v>2152500</v>
      </c>
      <c r="J98" s="49">
        <f t="shared" si="35"/>
        <v>2110500</v>
      </c>
      <c r="K98" s="49">
        <f t="shared" si="28"/>
        <v>2677500</v>
      </c>
    </row>
    <row r="99" spans="1:11" x14ac:dyDescent="0.3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</row>
    <row r="100" spans="1:11" x14ac:dyDescent="0.3">
      <c r="A100" s="17" t="s">
        <v>169</v>
      </c>
      <c r="B100" s="17"/>
      <c r="C100" s="17"/>
      <c r="D100" s="17"/>
      <c r="E100" s="17"/>
      <c r="F100" s="17"/>
      <c r="G100" s="19"/>
      <c r="H100" s="19">
        <v>0.3</v>
      </c>
      <c r="I100" s="17"/>
      <c r="J100" s="19">
        <v>0.08</v>
      </c>
      <c r="K100" s="17"/>
    </row>
    <row r="101" spans="1:11" x14ac:dyDescent="0.3">
      <c r="A101" s="17" t="s">
        <v>0</v>
      </c>
      <c r="B101" s="17" t="s">
        <v>166</v>
      </c>
      <c r="C101" s="17" t="s">
        <v>3</v>
      </c>
      <c r="D101" s="17" t="s">
        <v>143</v>
      </c>
      <c r="E101" s="17" t="s">
        <v>156</v>
      </c>
      <c r="F101" s="17" t="s">
        <v>153</v>
      </c>
      <c r="G101" s="17" t="s">
        <v>146</v>
      </c>
      <c r="H101" s="17" t="s">
        <v>147</v>
      </c>
      <c r="I101" s="17" t="s">
        <v>167</v>
      </c>
      <c r="J101" s="17" t="s">
        <v>168</v>
      </c>
      <c r="K101" s="17" t="s">
        <v>148</v>
      </c>
    </row>
    <row r="102" spans="1:11" x14ac:dyDescent="0.3">
      <c r="A102" s="17">
        <v>0</v>
      </c>
      <c r="B102" s="30"/>
      <c r="C102" s="30">
        <v>-3600000</v>
      </c>
      <c r="D102" s="30">
        <f>C102</f>
        <v>-3600000</v>
      </c>
      <c r="E102" s="30"/>
      <c r="F102" s="30">
        <f>-D102</f>
        <v>3600000</v>
      </c>
      <c r="G102" s="30"/>
      <c r="H102" s="30"/>
      <c r="I102" s="30"/>
      <c r="J102" s="17"/>
      <c r="K102" s="49">
        <f>D102</f>
        <v>-3600000</v>
      </c>
    </row>
    <row r="103" spans="1:11" x14ac:dyDescent="0.3">
      <c r="A103" s="17">
        <v>1</v>
      </c>
      <c r="B103" s="30">
        <v>1500000</v>
      </c>
      <c r="C103" s="30"/>
      <c r="D103" s="30">
        <f>B103</f>
        <v>1500000</v>
      </c>
      <c r="E103" s="30">
        <f>$D$102/5</f>
        <v>-720000</v>
      </c>
      <c r="F103" s="30">
        <f>F102+E103</f>
        <v>2880000</v>
      </c>
      <c r="G103" s="30">
        <f>D103+E103</f>
        <v>780000</v>
      </c>
      <c r="H103" s="30">
        <f>G103*$H$100</f>
        <v>234000</v>
      </c>
      <c r="I103" s="30">
        <f>G103-H103</f>
        <v>546000</v>
      </c>
      <c r="J103" s="49">
        <f>I103-F102*$J$100</f>
        <v>258000</v>
      </c>
      <c r="K103" s="49">
        <f>D103-H103</f>
        <v>1266000</v>
      </c>
    </row>
    <row r="104" spans="1:11" x14ac:dyDescent="0.3">
      <c r="A104" s="17">
        <v>2</v>
      </c>
      <c r="B104" s="30">
        <f>B103+300000</f>
        <v>1800000</v>
      </c>
      <c r="C104" s="30"/>
      <c r="D104" s="30">
        <f t="shared" ref="D104:D110" si="37">B104</f>
        <v>1800000</v>
      </c>
      <c r="E104" s="30">
        <f t="shared" ref="E104:E107" si="38">$D$102/5</f>
        <v>-720000</v>
      </c>
      <c r="F104" s="30">
        <f t="shared" ref="F104:F110" si="39">F103+E104</f>
        <v>2160000</v>
      </c>
      <c r="G104" s="30">
        <f t="shared" ref="G104:G110" si="40">D104+E104</f>
        <v>1080000</v>
      </c>
      <c r="H104" s="30">
        <f t="shared" ref="H104:H110" si="41">G104*$H$100</f>
        <v>324000</v>
      </c>
      <c r="I104" s="30">
        <f t="shared" ref="I104:I110" si="42">G104-H104</f>
        <v>756000</v>
      </c>
      <c r="J104" s="49">
        <f t="shared" ref="J104:J110" si="43">I104-F103*$J$100</f>
        <v>525600</v>
      </c>
      <c r="K104" s="49">
        <f t="shared" ref="K104:K110" si="44">D104-H104</f>
        <v>1476000</v>
      </c>
    </row>
    <row r="105" spans="1:11" x14ac:dyDescent="0.3">
      <c r="A105" s="17">
        <v>3</v>
      </c>
      <c r="B105" s="30">
        <f t="shared" ref="B105:B110" si="45">B104+300000</f>
        <v>2100000</v>
      </c>
      <c r="C105" s="30"/>
      <c r="D105" s="30">
        <f t="shared" si="37"/>
        <v>2100000</v>
      </c>
      <c r="E105" s="30">
        <f t="shared" si="38"/>
        <v>-720000</v>
      </c>
      <c r="F105" s="30">
        <f t="shared" si="39"/>
        <v>1440000</v>
      </c>
      <c r="G105" s="30">
        <f t="shared" si="40"/>
        <v>1380000</v>
      </c>
      <c r="H105" s="30">
        <f t="shared" si="41"/>
        <v>414000</v>
      </c>
      <c r="I105" s="30">
        <f t="shared" si="42"/>
        <v>966000</v>
      </c>
      <c r="J105" s="49">
        <f t="shared" si="43"/>
        <v>793200</v>
      </c>
      <c r="K105" s="49">
        <f t="shared" si="44"/>
        <v>1686000</v>
      </c>
    </row>
    <row r="106" spans="1:11" x14ac:dyDescent="0.3">
      <c r="A106" s="17">
        <v>4</v>
      </c>
      <c r="B106" s="30">
        <f t="shared" si="45"/>
        <v>2400000</v>
      </c>
      <c r="C106" s="30"/>
      <c r="D106" s="30">
        <f t="shared" si="37"/>
        <v>2400000</v>
      </c>
      <c r="E106" s="30">
        <f t="shared" si="38"/>
        <v>-720000</v>
      </c>
      <c r="F106" s="30">
        <f t="shared" si="39"/>
        <v>720000</v>
      </c>
      <c r="G106" s="30">
        <f t="shared" si="40"/>
        <v>1680000</v>
      </c>
      <c r="H106" s="30">
        <f t="shared" si="41"/>
        <v>504000</v>
      </c>
      <c r="I106" s="30">
        <f t="shared" si="42"/>
        <v>1176000</v>
      </c>
      <c r="J106" s="49">
        <f t="shared" si="43"/>
        <v>1060800</v>
      </c>
      <c r="K106" s="49">
        <f t="shared" si="44"/>
        <v>1896000</v>
      </c>
    </row>
    <row r="107" spans="1:11" x14ac:dyDescent="0.3">
      <c r="A107" s="17">
        <v>5</v>
      </c>
      <c r="B107" s="30">
        <f t="shared" si="45"/>
        <v>2700000</v>
      </c>
      <c r="C107" s="30"/>
      <c r="D107" s="30">
        <f t="shared" si="37"/>
        <v>2700000</v>
      </c>
      <c r="E107" s="30">
        <f t="shared" si="38"/>
        <v>-720000</v>
      </c>
      <c r="F107" s="30">
        <f t="shared" si="39"/>
        <v>0</v>
      </c>
      <c r="G107" s="30">
        <f t="shared" si="40"/>
        <v>1980000</v>
      </c>
      <c r="H107" s="30">
        <f t="shared" si="41"/>
        <v>594000</v>
      </c>
      <c r="I107" s="30">
        <f t="shared" si="42"/>
        <v>1386000</v>
      </c>
      <c r="J107" s="49">
        <f t="shared" si="43"/>
        <v>1328400</v>
      </c>
      <c r="K107" s="49">
        <f t="shared" si="44"/>
        <v>2106000</v>
      </c>
    </row>
    <row r="108" spans="1:11" x14ac:dyDescent="0.3">
      <c r="A108" s="17">
        <v>6</v>
      </c>
      <c r="B108" s="30">
        <f t="shared" si="45"/>
        <v>3000000</v>
      </c>
      <c r="C108" s="30"/>
      <c r="D108" s="30">
        <f t="shared" si="37"/>
        <v>3000000</v>
      </c>
      <c r="E108" s="30"/>
      <c r="F108" s="30">
        <f t="shared" si="39"/>
        <v>0</v>
      </c>
      <c r="G108" s="30">
        <f t="shared" si="40"/>
        <v>3000000</v>
      </c>
      <c r="H108" s="30">
        <f t="shared" si="41"/>
        <v>900000</v>
      </c>
      <c r="I108" s="30">
        <f t="shared" si="42"/>
        <v>2100000</v>
      </c>
      <c r="J108" s="49">
        <f t="shared" si="43"/>
        <v>2100000</v>
      </c>
      <c r="K108" s="49">
        <f t="shared" si="44"/>
        <v>2100000</v>
      </c>
    </row>
    <row r="109" spans="1:11" x14ac:dyDescent="0.3">
      <c r="A109" s="17">
        <v>7</v>
      </c>
      <c r="B109" s="30">
        <f t="shared" si="45"/>
        <v>3300000</v>
      </c>
      <c r="C109" s="30"/>
      <c r="D109" s="30">
        <f t="shared" si="37"/>
        <v>3300000</v>
      </c>
      <c r="E109" s="30"/>
      <c r="F109" s="30">
        <f t="shared" si="39"/>
        <v>0</v>
      </c>
      <c r="G109" s="30">
        <f t="shared" si="40"/>
        <v>3300000</v>
      </c>
      <c r="H109" s="30">
        <f t="shared" si="41"/>
        <v>990000</v>
      </c>
      <c r="I109" s="30">
        <f t="shared" si="42"/>
        <v>2310000</v>
      </c>
      <c r="J109" s="49">
        <f t="shared" si="43"/>
        <v>2310000</v>
      </c>
      <c r="K109" s="49">
        <f t="shared" si="44"/>
        <v>2310000</v>
      </c>
    </row>
    <row r="110" spans="1:11" x14ac:dyDescent="0.3">
      <c r="A110" s="17">
        <v>8</v>
      </c>
      <c r="B110" s="30">
        <f t="shared" si="45"/>
        <v>3600000</v>
      </c>
      <c r="C110" s="30"/>
      <c r="D110" s="30">
        <f t="shared" si="37"/>
        <v>3600000</v>
      </c>
      <c r="E110" s="30"/>
      <c r="F110" s="30">
        <f t="shared" si="39"/>
        <v>0</v>
      </c>
      <c r="G110" s="30">
        <f t="shared" si="40"/>
        <v>3600000</v>
      </c>
      <c r="H110" s="30">
        <f t="shared" si="41"/>
        <v>1080000</v>
      </c>
      <c r="I110" s="30">
        <f t="shared" si="42"/>
        <v>2520000</v>
      </c>
      <c r="J110" s="49">
        <f t="shared" si="43"/>
        <v>2520000</v>
      </c>
      <c r="K110" s="49">
        <f t="shared" si="44"/>
        <v>2520000</v>
      </c>
    </row>
    <row r="112" spans="1:11" x14ac:dyDescent="0.3">
      <c r="A112" s="2">
        <v>17.670000000000002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spans="1:11" x14ac:dyDescent="0.3">
      <c r="A113" s="2"/>
      <c r="B113" s="2"/>
      <c r="C113" s="2"/>
      <c r="D113" s="2"/>
      <c r="E113" s="2"/>
      <c r="F113" s="2"/>
      <c r="G113" s="2"/>
      <c r="H113" s="2"/>
      <c r="I113" s="4">
        <v>0.35</v>
      </c>
      <c r="J113" s="2"/>
      <c r="K113" s="2"/>
    </row>
    <row r="114" spans="1:11" x14ac:dyDescent="0.3">
      <c r="A114" s="2" t="s">
        <v>0</v>
      </c>
      <c r="B114" s="2" t="s">
        <v>158</v>
      </c>
      <c r="C114" s="2" t="s">
        <v>164</v>
      </c>
      <c r="D114" s="2" t="s">
        <v>3</v>
      </c>
      <c r="E114" s="2" t="s">
        <v>143</v>
      </c>
      <c r="F114" s="2" t="s">
        <v>81</v>
      </c>
      <c r="G114" s="2" t="s">
        <v>153</v>
      </c>
      <c r="H114" s="2" t="s">
        <v>146</v>
      </c>
      <c r="I114" s="2" t="s">
        <v>147</v>
      </c>
      <c r="J114" s="2" t="s">
        <v>148</v>
      </c>
      <c r="K114" s="2"/>
    </row>
    <row r="115" spans="1:11" x14ac:dyDescent="0.3">
      <c r="A115" s="2">
        <v>0</v>
      </c>
      <c r="B115" s="2"/>
      <c r="C115" s="2"/>
      <c r="D115" s="2">
        <v>-3000000</v>
      </c>
      <c r="E115" s="2">
        <f>D115</f>
        <v>-3000000</v>
      </c>
      <c r="F115" s="2"/>
      <c r="G115" s="2">
        <f>-E115</f>
        <v>3000000</v>
      </c>
      <c r="H115" s="2"/>
      <c r="I115" s="2"/>
      <c r="J115" s="2">
        <f>E115-I115</f>
        <v>-3000000</v>
      </c>
      <c r="K115" s="2"/>
    </row>
    <row r="116" spans="1:11" x14ac:dyDescent="0.3">
      <c r="A116" s="2">
        <v>1</v>
      </c>
      <c r="B116" s="2">
        <f>2800000-100000*A116</f>
        <v>2700000</v>
      </c>
      <c r="C116" s="2">
        <f>950000+50000*A116</f>
        <v>1000000</v>
      </c>
      <c r="D116" s="2"/>
      <c r="E116" s="2">
        <f>B116-C116</f>
        <v>1700000</v>
      </c>
      <c r="F116" s="2">
        <v>300000</v>
      </c>
      <c r="G116" s="2">
        <f>G115-F116</f>
        <v>2700000</v>
      </c>
      <c r="H116" s="2">
        <f>E116-F116</f>
        <v>1400000</v>
      </c>
      <c r="I116" s="2">
        <f>H116*$I$113</f>
        <v>489999.99999999994</v>
      </c>
      <c r="J116" s="2">
        <f t="shared" ref="J116:J121" si="46">E116-I116</f>
        <v>1210000</v>
      </c>
      <c r="K116" s="2"/>
    </row>
    <row r="117" spans="1:11" x14ac:dyDescent="0.3">
      <c r="A117" s="2">
        <v>2</v>
      </c>
      <c r="B117" s="2">
        <f t="shared" ref="B117:B121" si="47">2800000-100000*A117</f>
        <v>2600000</v>
      </c>
      <c r="C117" s="2">
        <f t="shared" ref="C117:C121" si="48">950000+50000*A117</f>
        <v>1050000</v>
      </c>
      <c r="D117" s="2"/>
      <c r="E117" s="2">
        <f t="shared" ref="E117:E121" si="49">B117-C117</f>
        <v>1550000</v>
      </c>
      <c r="F117" s="2">
        <v>600000</v>
      </c>
      <c r="G117" s="2">
        <f t="shared" ref="G117:G121" si="50">G116-F117</f>
        <v>2100000</v>
      </c>
      <c r="H117" s="2">
        <f t="shared" ref="H117:H121" si="51">E117-F117</f>
        <v>950000</v>
      </c>
      <c r="I117" s="2">
        <f t="shared" ref="I117:I121" si="52">H117*$I$113</f>
        <v>332500</v>
      </c>
      <c r="J117" s="2">
        <f t="shared" si="46"/>
        <v>1217500</v>
      </c>
      <c r="K117" s="2"/>
    </row>
    <row r="118" spans="1:11" x14ac:dyDescent="0.3">
      <c r="A118" s="2">
        <v>3</v>
      </c>
      <c r="B118" s="2">
        <f t="shared" si="47"/>
        <v>2500000</v>
      </c>
      <c r="C118" s="2">
        <f t="shared" si="48"/>
        <v>1100000</v>
      </c>
      <c r="D118" s="2"/>
      <c r="E118" s="2">
        <f t="shared" si="49"/>
        <v>1400000</v>
      </c>
      <c r="F118" s="2">
        <v>600000</v>
      </c>
      <c r="G118" s="2">
        <f t="shared" si="50"/>
        <v>1500000</v>
      </c>
      <c r="H118" s="2">
        <f t="shared" si="51"/>
        <v>800000</v>
      </c>
      <c r="I118" s="2">
        <f t="shared" si="52"/>
        <v>280000</v>
      </c>
      <c r="J118" s="2">
        <f t="shared" si="46"/>
        <v>1120000</v>
      </c>
      <c r="K118" s="2"/>
    </row>
    <row r="119" spans="1:11" x14ac:dyDescent="0.3">
      <c r="A119" s="2">
        <v>4</v>
      </c>
      <c r="B119" s="2">
        <f t="shared" si="47"/>
        <v>2400000</v>
      </c>
      <c r="C119" s="2">
        <f t="shared" si="48"/>
        <v>1150000</v>
      </c>
      <c r="D119" s="2"/>
      <c r="E119" s="2">
        <f t="shared" si="49"/>
        <v>1250000</v>
      </c>
      <c r="F119" s="2">
        <v>600000</v>
      </c>
      <c r="G119" s="2">
        <f t="shared" si="50"/>
        <v>900000</v>
      </c>
      <c r="H119" s="2">
        <f t="shared" si="51"/>
        <v>650000</v>
      </c>
      <c r="I119" s="2">
        <f t="shared" si="52"/>
        <v>227500</v>
      </c>
      <c r="J119" s="2">
        <f t="shared" si="46"/>
        <v>1022500</v>
      </c>
      <c r="K119" s="2"/>
    </row>
    <row r="120" spans="1:11" x14ac:dyDescent="0.3">
      <c r="A120" s="2">
        <v>5</v>
      </c>
      <c r="B120" s="2">
        <f t="shared" si="47"/>
        <v>2300000</v>
      </c>
      <c r="C120" s="2">
        <f t="shared" si="48"/>
        <v>1200000</v>
      </c>
      <c r="D120" s="2"/>
      <c r="E120" s="2">
        <f t="shared" si="49"/>
        <v>1100000</v>
      </c>
      <c r="F120" s="2">
        <v>600000</v>
      </c>
      <c r="G120" s="2">
        <f t="shared" si="50"/>
        <v>300000</v>
      </c>
      <c r="H120" s="2">
        <f t="shared" si="51"/>
        <v>500000</v>
      </c>
      <c r="I120" s="2">
        <f t="shared" si="52"/>
        <v>175000</v>
      </c>
      <c r="J120" s="2">
        <f t="shared" si="46"/>
        <v>925000</v>
      </c>
      <c r="K120" s="2"/>
    </row>
    <row r="121" spans="1:11" x14ac:dyDescent="0.3">
      <c r="A121" s="2">
        <v>6</v>
      </c>
      <c r="B121" s="2">
        <f t="shared" si="47"/>
        <v>2200000</v>
      </c>
      <c r="C121" s="2">
        <f t="shared" si="48"/>
        <v>1250000</v>
      </c>
      <c r="D121" s="2"/>
      <c r="E121" s="2">
        <f t="shared" si="49"/>
        <v>950000</v>
      </c>
      <c r="F121" s="2">
        <v>300000</v>
      </c>
      <c r="G121" s="2">
        <f t="shared" si="50"/>
        <v>0</v>
      </c>
      <c r="H121" s="2">
        <f t="shared" si="51"/>
        <v>650000</v>
      </c>
      <c r="I121" s="2">
        <f t="shared" si="52"/>
        <v>227500</v>
      </c>
      <c r="J121" s="2">
        <f t="shared" si="46"/>
        <v>722500</v>
      </c>
      <c r="K121" s="2"/>
    </row>
    <row r="122" spans="1:11" x14ac:dyDescent="0.3">
      <c r="A122" s="2"/>
      <c r="B122" s="2"/>
      <c r="C122" s="2"/>
      <c r="D122" s="2"/>
      <c r="E122" s="2"/>
      <c r="F122" s="2"/>
      <c r="G122" s="2"/>
      <c r="H122" s="4">
        <v>0.12</v>
      </c>
      <c r="I122" s="2" t="s">
        <v>52</v>
      </c>
      <c r="J122" s="78">
        <f>NPV(H122,J116:J121)+J115</f>
        <v>1388862.6280857883</v>
      </c>
      <c r="K122" s="2"/>
    </row>
    <row r="123" spans="1:11" x14ac:dyDescent="0.3">
      <c r="A123" s="2"/>
      <c r="B123" s="2"/>
      <c r="C123" s="2"/>
      <c r="D123" s="2"/>
      <c r="E123" s="2"/>
      <c r="F123" s="2"/>
      <c r="G123" s="2"/>
      <c r="H123" s="2"/>
      <c r="I123" s="2" t="s">
        <v>53</v>
      </c>
      <c r="J123" s="78">
        <f>-PMT($H$122,$A$121,$J$122)</f>
        <v>337807.1105092846</v>
      </c>
      <c r="K123" s="2"/>
    </row>
    <row r="124" spans="1:11" x14ac:dyDescent="0.3">
      <c r="A124" s="2"/>
      <c r="B124" s="2"/>
      <c r="C124" s="2"/>
      <c r="D124" s="2"/>
      <c r="E124" s="2"/>
      <c r="F124" s="2"/>
      <c r="G124" s="2"/>
      <c r="H124" s="12">
        <v>0.18285472890797316</v>
      </c>
      <c r="I124" s="2" t="s">
        <v>53</v>
      </c>
      <c r="J124" s="78">
        <f>-PMT($H$124,$A$121,$J$122)</f>
        <v>399999.99982480577</v>
      </c>
      <c r="K124" s="7" t="s">
        <v>170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BD2E9-F87F-4F03-9F2B-8D6002656F81}">
  <dimension ref="A1:J116"/>
  <sheetViews>
    <sheetView zoomScale="85" zoomScaleNormal="85" workbookViewId="0">
      <selection activeCell="A48" sqref="A48"/>
    </sheetView>
  </sheetViews>
  <sheetFormatPr defaultRowHeight="16.5" x14ac:dyDescent="0.3"/>
  <cols>
    <col min="1" max="1" width="14.375" bestFit="1" customWidth="1"/>
    <col min="2" max="2" width="15.25" bestFit="1" customWidth="1"/>
    <col min="3" max="3" width="11.5" bestFit="1" customWidth="1"/>
    <col min="4" max="4" width="15.625" bestFit="1" customWidth="1"/>
    <col min="6" max="6" width="15.625" bestFit="1" customWidth="1"/>
  </cols>
  <sheetData>
    <row r="1" spans="1:2" x14ac:dyDescent="0.3">
      <c r="A1" s="9">
        <v>2.2000000000000002</v>
      </c>
    </row>
    <row r="2" spans="1:2" x14ac:dyDescent="0.3">
      <c r="A2" s="2" t="s">
        <v>26</v>
      </c>
    </row>
    <row r="3" spans="1:2" x14ac:dyDescent="0.3">
      <c r="A3" s="8">
        <v>1200000</v>
      </c>
    </row>
    <row r="4" spans="1:2" x14ac:dyDescent="0.3">
      <c r="A4" s="2"/>
    </row>
    <row r="5" spans="1:2" x14ac:dyDescent="0.3">
      <c r="A5" s="2" t="s">
        <v>2</v>
      </c>
    </row>
    <row r="6" spans="1:2" x14ac:dyDescent="0.3">
      <c r="A6" s="4">
        <v>7.0000000000000007E-2</v>
      </c>
    </row>
    <row r="7" spans="1:2" x14ac:dyDescent="0.3">
      <c r="A7" s="2"/>
    </row>
    <row r="8" spans="1:2" x14ac:dyDescent="0.3">
      <c r="A8" s="2" t="s">
        <v>27</v>
      </c>
    </row>
    <row r="9" spans="1:2" x14ac:dyDescent="0.3">
      <c r="A9" s="8">
        <f>-FV(A6,4,,A3)</f>
        <v>1572955.2120000001</v>
      </c>
    </row>
    <row r="11" spans="1:2" x14ac:dyDescent="0.3">
      <c r="A11" s="16">
        <v>2.1800000000000002</v>
      </c>
    </row>
    <row r="12" spans="1:2" x14ac:dyDescent="0.3">
      <c r="A12" s="17">
        <f>600000*0.04</f>
        <v>24000</v>
      </c>
    </row>
    <row r="13" spans="1:2" x14ac:dyDescent="0.3">
      <c r="A13" s="18">
        <f>-FV(10%,3,A12)</f>
        <v>79440.000000000102</v>
      </c>
    </row>
    <row r="14" spans="1:2" x14ac:dyDescent="0.3">
      <c r="B14" s="1"/>
    </row>
    <row r="15" spans="1:2" x14ac:dyDescent="0.3">
      <c r="A15" s="9">
        <v>2.19</v>
      </c>
      <c r="B15" s="1"/>
    </row>
    <row r="16" spans="1:2" x14ac:dyDescent="0.3">
      <c r="A16" s="2" t="s">
        <v>4</v>
      </c>
    </row>
    <row r="17" spans="1:2" x14ac:dyDescent="0.3">
      <c r="A17" s="2">
        <v>90000</v>
      </c>
      <c r="B17" s="6"/>
    </row>
    <row r="18" spans="1:2" x14ac:dyDescent="0.3">
      <c r="A18" s="2" t="s">
        <v>11</v>
      </c>
      <c r="B18" s="6"/>
    </row>
    <row r="19" spans="1:2" x14ac:dyDescent="0.3">
      <c r="A19" s="2">
        <v>3</v>
      </c>
    </row>
    <row r="20" spans="1:2" x14ac:dyDescent="0.3">
      <c r="A20" s="2" t="s">
        <v>2</v>
      </c>
    </row>
    <row r="21" spans="1:2" x14ac:dyDescent="0.3">
      <c r="A21" s="4">
        <v>0.2</v>
      </c>
    </row>
    <row r="22" spans="1:2" x14ac:dyDescent="0.3">
      <c r="A22" s="8">
        <f>-PV(A21,A19,A17)</f>
        <v>189583.33333333334</v>
      </c>
    </row>
    <row r="24" spans="1:2" x14ac:dyDescent="0.3">
      <c r="A24" s="15">
        <v>2.2000000000000002</v>
      </c>
    </row>
    <row r="25" spans="1:2" x14ac:dyDescent="0.3">
      <c r="A25" s="2" t="s">
        <v>25</v>
      </c>
    </row>
    <row r="26" spans="1:2" x14ac:dyDescent="0.3">
      <c r="A26" s="2">
        <v>250000</v>
      </c>
    </row>
    <row r="27" spans="1:2" x14ac:dyDescent="0.3">
      <c r="A27" s="2" t="s">
        <v>11</v>
      </c>
    </row>
    <row r="28" spans="1:2" x14ac:dyDescent="0.3">
      <c r="A28" s="2">
        <v>5</v>
      </c>
    </row>
    <row r="29" spans="1:2" x14ac:dyDescent="0.3">
      <c r="A29" s="2" t="s">
        <v>2</v>
      </c>
    </row>
    <row r="30" spans="1:2" x14ac:dyDescent="0.3">
      <c r="A30" s="4">
        <v>0.09</v>
      </c>
    </row>
    <row r="31" spans="1:2" x14ac:dyDescent="0.3">
      <c r="A31" s="2"/>
    </row>
    <row r="32" spans="1:2" x14ac:dyDescent="0.3">
      <c r="A32" s="8">
        <f>-PMT(A30,A28,,A26)</f>
        <v>41773.114239186238</v>
      </c>
    </row>
    <row r="34" spans="1:1" x14ac:dyDescent="0.3">
      <c r="A34" s="9">
        <v>2.21</v>
      </c>
    </row>
    <row r="35" spans="1:1" x14ac:dyDescent="0.3">
      <c r="A35" s="2" t="s">
        <v>28</v>
      </c>
    </row>
    <row r="36" spans="1:1" x14ac:dyDescent="0.3">
      <c r="A36" s="2">
        <v>3.07</v>
      </c>
    </row>
    <row r="37" spans="1:1" x14ac:dyDescent="0.3">
      <c r="A37" s="2" t="s">
        <v>29</v>
      </c>
    </row>
    <row r="38" spans="1:1" x14ac:dyDescent="0.3">
      <c r="A38" s="2">
        <v>1.1499999999999999</v>
      </c>
    </row>
    <row r="39" spans="1:1" x14ac:dyDescent="0.3">
      <c r="A39" s="2" t="s">
        <v>11</v>
      </c>
    </row>
    <row r="40" spans="1:1" x14ac:dyDescent="0.3">
      <c r="A40" s="2">
        <v>20</v>
      </c>
    </row>
    <row r="41" spans="1:1" x14ac:dyDescent="0.3">
      <c r="A41" s="2" t="s">
        <v>2</v>
      </c>
    </row>
    <row r="42" spans="1:1" x14ac:dyDescent="0.3">
      <c r="A42" s="4">
        <v>0.05</v>
      </c>
    </row>
    <row r="43" spans="1:1" x14ac:dyDescent="0.3">
      <c r="A43" s="2"/>
    </row>
    <row r="44" spans="1:1" x14ac:dyDescent="0.3">
      <c r="A44" s="8">
        <f>-PMT(A42,A40,A38)*1000000</f>
        <v>92278.975269295013</v>
      </c>
    </row>
    <row r="46" spans="1:1" x14ac:dyDescent="0.3">
      <c r="A46" s="9">
        <v>2.2200000000000002</v>
      </c>
    </row>
    <row r="47" spans="1:1" x14ac:dyDescent="0.3">
      <c r="A47" s="2" t="s">
        <v>4</v>
      </c>
    </row>
    <row r="48" spans="1:1" x14ac:dyDescent="0.3">
      <c r="A48" s="2">
        <f>110000*0.3</f>
        <v>33000</v>
      </c>
    </row>
    <row r="49" spans="1:10" x14ac:dyDescent="0.3">
      <c r="A49" s="2" t="s">
        <v>11</v>
      </c>
    </row>
    <row r="50" spans="1:10" x14ac:dyDescent="0.3">
      <c r="A50" s="2">
        <v>4</v>
      </c>
    </row>
    <row r="51" spans="1:10" x14ac:dyDescent="0.3">
      <c r="A51" s="2" t="s">
        <v>30</v>
      </c>
    </row>
    <row r="52" spans="1:10" x14ac:dyDescent="0.3">
      <c r="A52" s="4">
        <v>0.12</v>
      </c>
    </row>
    <row r="53" spans="1:10" x14ac:dyDescent="0.3">
      <c r="A53" s="2"/>
    </row>
    <row r="54" spans="1:10" x14ac:dyDescent="0.3">
      <c r="A54" s="20">
        <f>-PV(A52,A50,A48)</f>
        <v>100232.52843867143</v>
      </c>
    </row>
    <row r="56" spans="1:10" x14ac:dyDescent="0.3">
      <c r="A56" s="9">
        <v>2.36</v>
      </c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3">
      <c r="A57" s="2" t="s">
        <v>25</v>
      </c>
      <c r="B57" s="2"/>
      <c r="C57" s="2"/>
      <c r="D57" s="2" t="s">
        <v>34</v>
      </c>
      <c r="E57" s="2">
        <v>0</v>
      </c>
      <c r="F57" s="2">
        <v>1</v>
      </c>
      <c r="G57" s="2">
        <v>2</v>
      </c>
      <c r="H57" s="2">
        <v>3</v>
      </c>
      <c r="I57" s="2">
        <v>4</v>
      </c>
      <c r="J57" s="2">
        <v>5</v>
      </c>
    </row>
    <row r="58" spans="1:10" x14ac:dyDescent="0.3">
      <c r="A58" s="2">
        <v>2.1</v>
      </c>
      <c r="B58" s="2" t="s">
        <v>31</v>
      </c>
      <c r="C58" s="2"/>
      <c r="D58" s="2" t="s">
        <v>1</v>
      </c>
      <c r="E58" s="21">
        <v>0</v>
      </c>
      <c r="F58" s="22">
        <v>0.1</v>
      </c>
      <c r="G58" s="22">
        <f>F58+$A$64</f>
        <v>0.21569171626072289</v>
      </c>
      <c r="H58" s="22">
        <f>G58+$A$64</f>
        <v>0.33138343252144575</v>
      </c>
      <c r="I58" s="22">
        <f>H58+$A$64</f>
        <v>0.44707514878216864</v>
      </c>
      <c r="J58" s="22">
        <f>I58+$A$64</f>
        <v>0.56276686504289153</v>
      </c>
    </row>
    <row r="59" spans="1:10" x14ac:dyDescent="0.3">
      <c r="A59" s="2" t="s">
        <v>11</v>
      </c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3">
      <c r="A60" s="2">
        <v>5</v>
      </c>
      <c r="B60" s="2"/>
      <c r="C60" s="2"/>
      <c r="D60" s="2" t="s">
        <v>24</v>
      </c>
      <c r="E60" s="23">
        <f>NPV(A62,F58:J58)+E58</f>
        <v>0.91792935408396292</v>
      </c>
      <c r="F60" s="22">
        <f>E60*1000000000</f>
        <v>917929354.08396292</v>
      </c>
      <c r="G60" s="2"/>
      <c r="H60" s="2"/>
      <c r="I60" s="2"/>
      <c r="J60" s="2"/>
    </row>
    <row r="61" spans="1:10" x14ac:dyDescent="0.3">
      <c r="A61" s="2" t="s">
        <v>2</v>
      </c>
      <c r="B61" s="2"/>
      <c r="C61" s="2"/>
      <c r="D61" s="2" t="s">
        <v>25</v>
      </c>
      <c r="E61" s="25">
        <f>-FV(A62,5,,E60)</f>
        <v>2.0999999999999992</v>
      </c>
      <c r="F61" s="2"/>
      <c r="G61" s="2"/>
      <c r="H61" s="2"/>
      <c r="I61" s="2"/>
      <c r="J61" s="2"/>
    </row>
    <row r="62" spans="1:10" x14ac:dyDescent="0.3">
      <c r="A62" s="4">
        <v>0.18</v>
      </c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3">
      <c r="A63" s="2" t="s">
        <v>32</v>
      </c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3">
      <c r="A64" s="2">
        <v>0.11569171626072289</v>
      </c>
      <c r="B64" s="2" t="s">
        <v>31</v>
      </c>
      <c r="C64" s="2"/>
      <c r="D64" s="20">
        <f>A64*1000000000</f>
        <v>115691716.26072289</v>
      </c>
      <c r="E64" s="2"/>
      <c r="F64" s="2"/>
      <c r="G64" s="2"/>
      <c r="H64" s="2"/>
      <c r="I64" s="2"/>
      <c r="J64" s="2"/>
    </row>
    <row r="65" spans="1:10" x14ac:dyDescent="0.3">
      <c r="A65" s="2" t="s">
        <v>33</v>
      </c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3">
      <c r="A66" s="24">
        <v>0.1</v>
      </c>
      <c r="B66" s="2" t="s">
        <v>31</v>
      </c>
      <c r="C66" s="2"/>
      <c r="D66" s="2"/>
      <c r="E66" s="2"/>
      <c r="F66" s="2"/>
      <c r="G66" s="2"/>
      <c r="H66" s="2"/>
      <c r="I66" s="2"/>
      <c r="J66" s="2"/>
    </row>
    <row r="68" spans="1:10" x14ac:dyDescent="0.3">
      <c r="A68" s="9">
        <v>2.4500000000000002</v>
      </c>
      <c r="B68" s="2" t="s">
        <v>36</v>
      </c>
      <c r="C68" s="2">
        <v>1000000</v>
      </c>
      <c r="D68" s="2"/>
      <c r="E68" s="2"/>
      <c r="F68" s="2"/>
      <c r="G68" s="2"/>
    </row>
    <row r="69" spans="1:10" x14ac:dyDescent="0.3">
      <c r="A69" s="2" t="s">
        <v>35</v>
      </c>
      <c r="B69" s="2" t="s">
        <v>2</v>
      </c>
      <c r="C69" s="2"/>
      <c r="D69" s="2"/>
      <c r="E69" s="2"/>
      <c r="F69" s="2"/>
      <c r="G69" s="2"/>
    </row>
    <row r="70" spans="1:10" x14ac:dyDescent="0.3">
      <c r="A70" s="4">
        <v>0.01</v>
      </c>
      <c r="B70" s="4">
        <v>0.08</v>
      </c>
      <c r="C70" s="2"/>
      <c r="D70" s="2"/>
      <c r="E70" s="2"/>
      <c r="F70" s="2"/>
      <c r="G70" s="2"/>
    </row>
    <row r="71" spans="1:10" x14ac:dyDescent="0.3">
      <c r="A71" s="2"/>
      <c r="B71" s="2"/>
      <c r="C71" s="2"/>
      <c r="D71" s="2"/>
      <c r="E71" s="2"/>
      <c r="F71" s="2"/>
      <c r="G71" s="2"/>
    </row>
    <row r="72" spans="1:10" x14ac:dyDescent="0.3">
      <c r="A72" s="2" t="s">
        <v>0</v>
      </c>
      <c r="B72" s="2">
        <v>0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</row>
    <row r="73" spans="1:10" x14ac:dyDescent="0.3">
      <c r="A73" s="2" t="s">
        <v>37</v>
      </c>
      <c r="B73" s="2">
        <v>0</v>
      </c>
      <c r="C73" s="2">
        <v>5</v>
      </c>
      <c r="D73" s="2">
        <f>C73*(1.1)</f>
        <v>5.5</v>
      </c>
      <c r="E73" s="2">
        <f t="shared" ref="E73:G73" si="0">D73*(1.1)</f>
        <v>6.0500000000000007</v>
      </c>
      <c r="F73" s="2">
        <f t="shared" si="0"/>
        <v>6.6550000000000011</v>
      </c>
      <c r="G73" s="2">
        <f t="shared" si="0"/>
        <v>7.3205000000000018</v>
      </c>
    </row>
    <row r="74" spans="1:10" x14ac:dyDescent="0.3">
      <c r="A74" s="2" t="s">
        <v>38</v>
      </c>
      <c r="B74" s="2">
        <v>0</v>
      </c>
      <c r="C74" s="25">
        <f>C73*$A$70</f>
        <v>0.05</v>
      </c>
      <c r="D74" s="25">
        <f t="shared" ref="D74:G74" si="1">D73*$A$70</f>
        <v>5.5E-2</v>
      </c>
      <c r="E74" s="25">
        <f t="shared" si="1"/>
        <v>6.0500000000000005E-2</v>
      </c>
      <c r="F74" s="25">
        <f t="shared" si="1"/>
        <v>6.6550000000000012E-2</v>
      </c>
      <c r="G74" s="25">
        <f t="shared" si="1"/>
        <v>7.320500000000002E-2</v>
      </c>
    </row>
    <row r="75" spans="1:10" x14ac:dyDescent="0.3">
      <c r="A75" s="2" t="s">
        <v>24</v>
      </c>
      <c r="B75" s="27">
        <f>NPV(B70,C74:G74)</f>
        <v>0.24021511163707446</v>
      </c>
      <c r="C75" s="2"/>
      <c r="D75" s="2"/>
      <c r="E75" s="2"/>
      <c r="F75" s="2"/>
      <c r="G75" s="2"/>
    </row>
    <row r="76" spans="1:10" x14ac:dyDescent="0.3">
      <c r="A76" s="2" t="s">
        <v>39</v>
      </c>
      <c r="B76" s="27">
        <f>-PMT(B70,5,B75)</f>
        <v>6.0163425193998518E-2</v>
      </c>
      <c r="C76" s="2"/>
      <c r="D76" s="2"/>
      <c r="E76" s="2"/>
      <c r="F76" s="2"/>
      <c r="G76" s="2"/>
    </row>
    <row r="77" spans="1:10" x14ac:dyDescent="0.3">
      <c r="A77" s="2"/>
      <c r="B77" s="22">
        <f>B76*C68</f>
        <v>60163.425193998519</v>
      </c>
      <c r="C77" s="2"/>
      <c r="D77" s="2"/>
      <c r="E77" s="2"/>
      <c r="F77" s="2"/>
      <c r="G77" s="2"/>
    </row>
    <row r="79" spans="1:10" x14ac:dyDescent="0.3">
      <c r="A79" s="9">
        <v>2.5299999999999998</v>
      </c>
      <c r="B79" s="2"/>
      <c r="C79" s="2"/>
      <c r="D79" s="2"/>
      <c r="E79" s="2"/>
      <c r="F79" s="2"/>
      <c r="G79" s="2"/>
    </row>
    <row r="80" spans="1:10" x14ac:dyDescent="0.3">
      <c r="A80" s="2" t="s">
        <v>0</v>
      </c>
      <c r="B80" s="2">
        <v>0</v>
      </c>
      <c r="C80" s="2">
        <v>1</v>
      </c>
      <c r="D80" s="2">
        <v>2</v>
      </c>
      <c r="E80" s="2">
        <v>3</v>
      </c>
      <c r="F80" s="2">
        <v>4</v>
      </c>
      <c r="G80" s="2">
        <v>5</v>
      </c>
    </row>
    <row r="81" spans="1:7" x14ac:dyDescent="0.3">
      <c r="A81" s="2" t="s">
        <v>1</v>
      </c>
      <c r="B81" s="2">
        <v>0</v>
      </c>
      <c r="C81" s="2">
        <v>320000</v>
      </c>
      <c r="D81" s="2">
        <f>C81+50000</f>
        <v>370000</v>
      </c>
      <c r="E81" s="2">
        <f t="shared" ref="E81:G81" si="2">D81+50000</f>
        <v>420000</v>
      </c>
      <c r="F81" s="2">
        <f t="shared" si="2"/>
        <v>470000</v>
      </c>
      <c r="G81" s="2">
        <f t="shared" si="2"/>
        <v>520000</v>
      </c>
    </row>
    <row r="82" spans="1:7" x14ac:dyDescent="0.3">
      <c r="A82" s="2" t="s">
        <v>2</v>
      </c>
      <c r="B82" s="2"/>
      <c r="C82" s="2"/>
      <c r="D82" s="2"/>
      <c r="E82" s="2"/>
      <c r="F82" s="2"/>
      <c r="G82" s="2"/>
    </row>
    <row r="83" spans="1:7" x14ac:dyDescent="0.3">
      <c r="A83" s="28">
        <v>0.22576786472799257</v>
      </c>
      <c r="B83" s="2"/>
      <c r="C83" s="2"/>
      <c r="D83" s="2"/>
      <c r="E83" s="2"/>
      <c r="F83" s="2"/>
      <c r="G83" s="2"/>
    </row>
    <row r="84" spans="1:7" x14ac:dyDescent="0.3">
      <c r="A84" s="2" t="s">
        <v>24</v>
      </c>
      <c r="B84" s="2"/>
      <c r="C84" s="2"/>
      <c r="D84" s="2"/>
      <c r="E84" s="2"/>
      <c r="F84" s="2"/>
      <c r="G84" s="2"/>
    </row>
    <row r="85" spans="1:7" x14ac:dyDescent="0.3">
      <c r="A85" s="20">
        <f>NPV(A83,C81:G81)+B81</f>
        <v>1131470.8351892086</v>
      </c>
      <c r="B85" s="2"/>
      <c r="C85" s="2"/>
      <c r="D85" s="2"/>
      <c r="E85" s="2"/>
      <c r="F85" s="2"/>
      <c r="G85" s="2"/>
    </row>
    <row r="86" spans="1:7" x14ac:dyDescent="0.3">
      <c r="A86" s="2" t="s">
        <v>40</v>
      </c>
      <c r="B86" s="2"/>
      <c r="C86" s="2"/>
      <c r="D86" s="2"/>
      <c r="E86" s="2"/>
      <c r="F86" s="2"/>
      <c r="G86" s="2"/>
    </row>
    <row r="87" spans="1:7" x14ac:dyDescent="0.3">
      <c r="A87" s="26">
        <f>-PMT(A83,5,A85)</f>
        <v>400000.00003583665</v>
      </c>
      <c r="B87" s="2"/>
      <c r="C87" s="2"/>
      <c r="D87" s="2"/>
      <c r="E87" s="2"/>
      <c r="F87" s="2"/>
      <c r="G87" s="2"/>
    </row>
    <row r="89" spans="1:7" x14ac:dyDescent="0.3">
      <c r="A89" s="29">
        <v>2.6</v>
      </c>
      <c r="B89" s="17"/>
      <c r="C89" s="17"/>
    </row>
    <row r="90" spans="1:7" x14ac:dyDescent="0.3">
      <c r="A90" s="17" t="s">
        <v>25</v>
      </c>
      <c r="B90" s="17" t="s">
        <v>43</v>
      </c>
      <c r="C90" s="17" t="s">
        <v>24</v>
      </c>
    </row>
    <row r="91" spans="1:7" x14ac:dyDescent="0.3">
      <c r="A91" s="30">
        <v>2000000</v>
      </c>
      <c r="B91" s="31">
        <f>-PV(A95,A101,,A91)</f>
        <v>347913.17568377213</v>
      </c>
      <c r="C91" s="31"/>
    </row>
    <row r="92" spans="1:7" x14ac:dyDescent="0.3">
      <c r="A92" s="17" t="s">
        <v>41</v>
      </c>
      <c r="B92" s="17" t="s">
        <v>44</v>
      </c>
      <c r="C92" s="17"/>
    </row>
    <row r="93" spans="1:7" x14ac:dyDescent="0.3">
      <c r="A93" s="17">
        <v>10000</v>
      </c>
      <c r="B93" s="19">
        <v>0.1</v>
      </c>
      <c r="C93" s="17" t="s">
        <v>18</v>
      </c>
    </row>
    <row r="94" spans="1:7" x14ac:dyDescent="0.3">
      <c r="A94" s="17" t="s">
        <v>42</v>
      </c>
      <c r="B94" s="17"/>
      <c r="C94" s="17"/>
    </row>
    <row r="95" spans="1:7" x14ac:dyDescent="0.3">
      <c r="A95" s="19">
        <v>7.0000000000000007E-2</v>
      </c>
      <c r="B95" s="17"/>
      <c r="C95" s="17"/>
    </row>
    <row r="96" spans="1:7" x14ac:dyDescent="0.3">
      <c r="A96" s="17"/>
      <c r="B96" s="17"/>
      <c r="C96" s="17"/>
    </row>
    <row r="97" spans="1:5" x14ac:dyDescent="0.3">
      <c r="A97" s="32">
        <f>A93*(1-((1+B93)/(1+A95))^A101)/(A95-B93)-B91</f>
        <v>-4.4499756768345833E-7</v>
      </c>
      <c r="B97" s="17"/>
      <c r="C97" s="17"/>
    </row>
    <row r="98" spans="1:5" x14ac:dyDescent="0.3">
      <c r="A98" s="17"/>
      <c r="B98" s="17"/>
      <c r="C98" s="17"/>
    </row>
    <row r="99" spans="1:5" x14ac:dyDescent="0.3">
      <c r="A99" s="17"/>
      <c r="B99" s="17"/>
      <c r="C99" s="17"/>
    </row>
    <row r="100" spans="1:5" x14ac:dyDescent="0.3">
      <c r="A100" s="17" t="s">
        <v>11</v>
      </c>
      <c r="B100" s="17"/>
      <c r="C100" s="17"/>
    </row>
    <row r="101" spans="1:5" x14ac:dyDescent="0.3">
      <c r="A101" s="17">
        <v>25.849607485658741</v>
      </c>
      <c r="B101" s="33" t="s">
        <v>45</v>
      </c>
      <c r="C101" s="17">
        <v>26</v>
      </c>
    </row>
    <row r="103" spans="1:5" x14ac:dyDescent="0.3">
      <c r="A103" s="9">
        <v>2.65</v>
      </c>
      <c r="B103" s="2" t="s">
        <v>51</v>
      </c>
      <c r="C103" s="26">
        <v>1000000</v>
      </c>
      <c r="D103" s="2"/>
      <c r="E103" s="2"/>
    </row>
    <row r="104" spans="1:5" x14ac:dyDescent="0.3">
      <c r="A104" s="2" t="s">
        <v>46</v>
      </c>
      <c r="B104" s="2"/>
      <c r="C104" s="2"/>
      <c r="D104" s="2"/>
      <c r="E104" s="2"/>
    </row>
    <row r="105" spans="1:5" x14ac:dyDescent="0.3">
      <c r="A105" s="2">
        <v>1.07</v>
      </c>
      <c r="B105" s="2"/>
      <c r="C105" s="2"/>
      <c r="D105" s="2"/>
      <c r="E105" s="2"/>
    </row>
    <row r="106" spans="1:5" x14ac:dyDescent="0.3">
      <c r="A106" s="2" t="s">
        <v>47</v>
      </c>
      <c r="B106" s="2" t="s">
        <v>50</v>
      </c>
      <c r="C106" s="2" t="s">
        <v>52</v>
      </c>
      <c r="D106" s="2" t="s">
        <v>53</v>
      </c>
      <c r="E106" s="2"/>
    </row>
    <row r="107" spans="1:5" x14ac:dyDescent="0.3">
      <c r="A107" s="2">
        <v>1.06</v>
      </c>
      <c r="B107" s="2">
        <f>$A$105-A107</f>
        <v>1.0000000000000009E-2</v>
      </c>
      <c r="C107" s="2"/>
      <c r="D107" s="34">
        <f>-PMT($A$114,$A$116,B107)</f>
        <v>1.3586795822038396E-3</v>
      </c>
      <c r="E107" s="2">
        <f>D107*$C$103</f>
        <v>1358.6795822038396</v>
      </c>
    </row>
    <row r="108" spans="1:5" x14ac:dyDescent="0.3">
      <c r="A108" s="2" t="s">
        <v>48</v>
      </c>
      <c r="B108" s="2" t="s">
        <v>50</v>
      </c>
      <c r="C108" s="2" t="s">
        <v>52</v>
      </c>
      <c r="D108" s="2" t="s">
        <v>53</v>
      </c>
      <c r="E108" s="2"/>
    </row>
    <row r="109" spans="1:5" x14ac:dyDescent="0.3">
      <c r="A109" s="2">
        <v>1.0529999999999999</v>
      </c>
      <c r="B109" s="2">
        <f>$A$105-A109</f>
        <v>1.7000000000000126E-2</v>
      </c>
      <c r="C109" s="2"/>
      <c r="D109" s="34">
        <f>-PMT($A$114,$A$116,B109)</f>
        <v>2.3097552897465424E-3</v>
      </c>
      <c r="E109" s="2">
        <f>D109*$C$103</f>
        <v>2309.7552897465425</v>
      </c>
    </row>
    <row r="110" spans="1:5" x14ac:dyDescent="0.3">
      <c r="A110" s="2" t="s">
        <v>49</v>
      </c>
      <c r="B110" s="2" t="s">
        <v>50</v>
      </c>
      <c r="C110" s="2" t="s">
        <v>52</v>
      </c>
      <c r="D110" s="2" t="s">
        <v>53</v>
      </c>
      <c r="E110" s="2"/>
    </row>
    <row r="111" spans="1:5" x14ac:dyDescent="0.3">
      <c r="A111" s="2">
        <v>1.0449999999999999</v>
      </c>
      <c r="B111" s="2">
        <f>$A$105-A111</f>
        <v>2.5000000000000133E-2</v>
      </c>
      <c r="C111" s="2"/>
      <c r="D111" s="34">
        <f>-PMT($A$114,$A$116,B111)</f>
        <v>3.3966989555096138E-3</v>
      </c>
      <c r="E111" s="2">
        <f>D111*$C$103</f>
        <v>3396.6989555096138</v>
      </c>
    </row>
    <row r="112" spans="1:5" x14ac:dyDescent="0.3">
      <c r="A112" s="2"/>
      <c r="B112" s="2"/>
      <c r="C112" s="2"/>
      <c r="D112" s="2"/>
      <c r="E112" s="2"/>
    </row>
    <row r="113" spans="1:5" x14ac:dyDescent="0.3">
      <c r="A113" s="2" t="s">
        <v>2</v>
      </c>
      <c r="B113" s="2"/>
      <c r="C113" s="2"/>
      <c r="D113" s="2"/>
      <c r="E113" s="2"/>
    </row>
    <row r="114" spans="1:5" x14ac:dyDescent="0.3">
      <c r="A114" s="4">
        <v>0.06</v>
      </c>
      <c r="B114" s="2"/>
      <c r="C114" s="2"/>
      <c r="D114" s="2"/>
      <c r="E114" s="2"/>
    </row>
    <row r="115" spans="1:5" x14ac:dyDescent="0.3">
      <c r="A115" s="2" t="s">
        <v>11</v>
      </c>
      <c r="B115" s="2"/>
      <c r="C115" s="2"/>
      <c r="D115" s="2"/>
      <c r="E115" s="2"/>
    </row>
    <row r="116" spans="1:5" x14ac:dyDescent="0.3">
      <c r="A116" s="2">
        <v>10</v>
      </c>
      <c r="B116" s="2"/>
      <c r="C116" s="2"/>
      <c r="D116" s="2"/>
      <c r="E116" s="2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7BCD7-3C86-49F7-8236-852469C4808C}">
  <dimension ref="A1:N64"/>
  <sheetViews>
    <sheetView zoomScale="85" zoomScaleNormal="85" workbookViewId="0">
      <selection activeCell="A4" sqref="A4"/>
    </sheetView>
  </sheetViews>
  <sheetFormatPr defaultRowHeight="16.5" x14ac:dyDescent="0.3"/>
  <cols>
    <col min="1" max="1" width="14.75" bestFit="1" customWidth="1"/>
    <col min="2" max="2" width="15.125" bestFit="1" customWidth="1"/>
    <col min="6" max="6" width="10" bestFit="1" customWidth="1"/>
  </cols>
  <sheetData>
    <row r="1" spans="1:11" x14ac:dyDescent="0.3">
      <c r="A1" s="15">
        <v>3.1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3">
      <c r="A2" s="2" t="s">
        <v>54</v>
      </c>
      <c r="B2" s="2">
        <v>73000</v>
      </c>
      <c r="C2" s="2"/>
      <c r="D2" s="2"/>
      <c r="E2" s="2" t="s">
        <v>0</v>
      </c>
      <c r="F2" s="2">
        <v>0</v>
      </c>
      <c r="G2" s="2">
        <v>1</v>
      </c>
      <c r="H2" s="2">
        <v>2</v>
      </c>
      <c r="I2" s="2">
        <v>3</v>
      </c>
      <c r="J2" s="2">
        <v>4</v>
      </c>
      <c r="K2" s="2">
        <v>5</v>
      </c>
    </row>
    <row r="3" spans="1:11" x14ac:dyDescent="0.3">
      <c r="A3" s="2"/>
      <c r="B3" s="2"/>
      <c r="C3" s="2"/>
      <c r="D3" s="2"/>
      <c r="E3" s="2"/>
      <c r="F3" s="2"/>
      <c r="G3" s="2">
        <f t="shared" ref="G3:K3" si="0">-$B$2</f>
        <v>-73000</v>
      </c>
      <c r="H3" s="2">
        <f t="shared" si="0"/>
        <v>-73000</v>
      </c>
      <c r="I3" s="2">
        <f t="shared" si="0"/>
        <v>-73000</v>
      </c>
      <c r="J3" s="2">
        <f t="shared" si="0"/>
        <v>-73000</v>
      </c>
      <c r="K3" s="2">
        <f t="shared" si="0"/>
        <v>-73000</v>
      </c>
    </row>
    <row r="4" spans="1:11" x14ac:dyDescent="0.3">
      <c r="A4" s="2" t="s">
        <v>55</v>
      </c>
      <c r="B4" s="2">
        <v>16000</v>
      </c>
      <c r="C4" s="2"/>
      <c r="D4" s="2"/>
      <c r="E4" s="2"/>
      <c r="F4" s="26">
        <f>NPV(B8,G3:K3)+F3</f>
        <v>-276727.43416681665</v>
      </c>
      <c r="G4" s="2"/>
      <c r="H4" s="2"/>
      <c r="I4" s="2"/>
      <c r="J4" s="2"/>
      <c r="K4" s="2"/>
    </row>
    <row r="5" spans="1:11" x14ac:dyDescent="0.3">
      <c r="A5" s="2" t="s">
        <v>56</v>
      </c>
      <c r="B5" s="2">
        <v>58000</v>
      </c>
      <c r="C5" s="2" t="s">
        <v>57</v>
      </c>
      <c r="D5" s="2"/>
      <c r="E5" s="2"/>
      <c r="F5" s="2">
        <v>-16000</v>
      </c>
      <c r="G5" s="2">
        <v>-58000</v>
      </c>
      <c r="H5" s="2">
        <f>-$B$6</f>
        <v>-52000</v>
      </c>
      <c r="I5" s="2">
        <f t="shared" ref="I5:K5" si="1">-$B$6</f>
        <v>-52000</v>
      </c>
      <c r="J5" s="2">
        <f t="shared" si="1"/>
        <v>-52000</v>
      </c>
      <c r="K5" s="2">
        <f t="shared" si="1"/>
        <v>-52000</v>
      </c>
    </row>
    <row r="6" spans="1:11" x14ac:dyDescent="0.3">
      <c r="A6" s="2"/>
      <c r="B6" s="2">
        <v>52000</v>
      </c>
      <c r="C6" s="2" t="s">
        <v>58</v>
      </c>
      <c r="D6" s="2"/>
      <c r="E6" s="2"/>
      <c r="F6" s="26">
        <f>NPV(B8,G5:K5)+F5</f>
        <v>-218575.4574637847</v>
      </c>
      <c r="G6" s="2"/>
      <c r="H6" s="2"/>
      <c r="I6" s="2"/>
      <c r="J6" s="2"/>
      <c r="K6" s="2"/>
    </row>
    <row r="7" spans="1:11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3">
      <c r="A8" s="2" t="s">
        <v>2</v>
      </c>
      <c r="B8" s="4">
        <v>0.1</v>
      </c>
      <c r="C8" s="2"/>
      <c r="D8" s="2"/>
      <c r="E8" s="2"/>
      <c r="F8" s="2"/>
      <c r="G8" s="2"/>
      <c r="H8" s="2"/>
      <c r="I8" s="2"/>
      <c r="J8" s="2"/>
      <c r="K8" s="2"/>
    </row>
    <row r="9" spans="1:11" x14ac:dyDescent="0.3">
      <c r="A9" s="2" t="s">
        <v>59</v>
      </c>
      <c r="B9" s="26">
        <f>F6-F4</f>
        <v>58151.976703031949</v>
      </c>
      <c r="C9" s="2"/>
      <c r="D9" s="2"/>
      <c r="E9" s="2"/>
      <c r="F9" s="2"/>
      <c r="G9" s="2"/>
      <c r="H9" s="2"/>
      <c r="I9" s="2"/>
      <c r="J9" s="2"/>
      <c r="K9" s="2"/>
    </row>
    <row r="11" spans="1:11" x14ac:dyDescent="0.3">
      <c r="A11" s="16">
        <v>3.12</v>
      </c>
      <c r="B11" s="17"/>
      <c r="C11" s="17"/>
      <c r="D11" s="17"/>
      <c r="E11" s="17"/>
      <c r="F11" s="17"/>
      <c r="G11" s="17"/>
      <c r="H11" s="17"/>
      <c r="I11" s="17"/>
    </row>
    <row r="12" spans="1:11" x14ac:dyDescent="0.3">
      <c r="A12" s="17" t="s">
        <v>0</v>
      </c>
      <c r="B12" s="17">
        <v>0</v>
      </c>
      <c r="C12" s="17">
        <v>1</v>
      </c>
      <c r="D12" s="17">
        <v>2</v>
      </c>
      <c r="E12" s="17">
        <v>3</v>
      </c>
      <c r="F12" s="17">
        <v>4</v>
      </c>
      <c r="G12" s="17">
        <v>5</v>
      </c>
      <c r="H12" s="17"/>
      <c r="I12" s="17"/>
    </row>
    <row r="13" spans="1:11" x14ac:dyDescent="0.3">
      <c r="A13" s="17" t="s">
        <v>60</v>
      </c>
      <c r="B13" s="17"/>
      <c r="C13" s="17">
        <v>-7000</v>
      </c>
      <c r="D13" s="17">
        <v>-7000</v>
      </c>
      <c r="E13" s="17"/>
      <c r="F13" s="17"/>
      <c r="G13" s="17"/>
      <c r="H13" s="17"/>
      <c r="I13" s="30">
        <f>PV($A$17,2,,C13)</f>
        <v>5785.1239669421475</v>
      </c>
    </row>
    <row r="14" spans="1:11" x14ac:dyDescent="0.3">
      <c r="A14" s="17"/>
      <c r="B14" s="17"/>
      <c r="C14" s="17">
        <v>-9000</v>
      </c>
      <c r="D14" s="17">
        <v>-9000</v>
      </c>
      <c r="E14" s="17">
        <v>-9000</v>
      </c>
      <c r="F14" s="17">
        <v>-9000</v>
      </c>
      <c r="G14" s="17"/>
      <c r="H14" s="17"/>
      <c r="I14" s="30">
        <f>PV($A$17,4,,C14)</f>
        <v>6147.1210982856346</v>
      </c>
    </row>
    <row r="15" spans="1:11" x14ac:dyDescent="0.3">
      <c r="A15" s="17"/>
      <c r="B15" s="17"/>
      <c r="C15" s="17">
        <v>-15000</v>
      </c>
      <c r="D15" s="17">
        <v>-15000</v>
      </c>
      <c r="E15" s="17">
        <v>-15000</v>
      </c>
      <c r="F15" s="17">
        <v>-15000</v>
      </c>
      <c r="G15" s="17">
        <v>-15000</v>
      </c>
      <c r="H15" s="17"/>
      <c r="I15" s="30">
        <f>PV($A$17,5,,C15)</f>
        <v>9313.8198458873248</v>
      </c>
    </row>
    <row r="16" spans="1:11" x14ac:dyDescent="0.3">
      <c r="A16" s="17" t="s">
        <v>2</v>
      </c>
      <c r="B16" s="17"/>
      <c r="C16" s="17"/>
      <c r="D16" s="17"/>
      <c r="E16" s="17"/>
      <c r="F16" s="17"/>
      <c r="G16" s="17"/>
      <c r="H16" s="17" t="s">
        <v>43</v>
      </c>
      <c r="I16" s="30">
        <f>SUM(I13:I15)</f>
        <v>21246.064911115107</v>
      </c>
    </row>
    <row r="17" spans="1:10" x14ac:dyDescent="0.3">
      <c r="A17" s="19">
        <v>0.1</v>
      </c>
      <c r="B17" s="17"/>
      <c r="C17" s="17"/>
      <c r="D17" s="17"/>
      <c r="E17" s="17"/>
      <c r="F17" s="17"/>
      <c r="G17" s="17"/>
      <c r="H17" s="17" t="s">
        <v>40</v>
      </c>
      <c r="I17" s="30">
        <f>-PMT(A17,G12,I16)</f>
        <v>5604.6584003538019</v>
      </c>
    </row>
    <row r="18" spans="1:10" x14ac:dyDescent="0.3">
      <c r="C18" s="35"/>
    </row>
    <row r="19" spans="1:10" x14ac:dyDescent="0.3">
      <c r="A19" s="9">
        <v>3.28</v>
      </c>
      <c r="B19" s="2"/>
      <c r="C19" s="3"/>
      <c r="D19" s="2"/>
      <c r="E19" s="2"/>
      <c r="F19" s="2"/>
      <c r="G19" s="2"/>
      <c r="H19" s="2"/>
      <c r="I19" s="2"/>
      <c r="J19" s="2"/>
    </row>
    <row r="20" spans="1:10" x14ac:dyDescent="0.3">
      <c r="A20" s="2" t="s">
        <v>0</v>
      </c>
      <c r="B20" s="2">
        <v>0</v>
      </c>
      <c r="C20" s="2">
        <v>1</v>
      </c>
      <c r="D20" s="2">
        <v>2</v>
      </c>
      <c r="E20" s="2">
        <v>3</v>
      </c>
      <c r="F20" s="2">
        <v>4</v>
      </c>
      <c r="G20" s="2">
        <v>5</v>
      </c>
      <c r="H20" s="2">
        <v>6</v>
      </c>
      <c r="I20" s="2">
        <v>7</v>
      </c>
      <c r="J20" s="2">
        <v>8</v>
      </c>
    </row>
    <row r="21" spans="1:10" x14ac:dyDescent="0.3">
      <c r="A21" s="2" t="s">
        <v>1</v>
      </c>
      <c r="B21" s="2"/>
      <c r="C21" s="2">
        <v>-6220.1092262376324</v>
      </c>
      <c r="D21" s="2">
        <f>$C$21</f>
        <v>-6220.1092262376324</v>
      </c>
      <c r="E21" s="2">
        <f t="shared" ref="E21:F21" si="2">$C$21</f>
        <v>-6220.1092262376324</v>
      </c>
      <c r="F21" s="2">
        <f t="shared" si="2"/>
        <v>-6220.1092262376324</v>
      </c>
      <c r="G21" s="2">
        <f>$C$21*2</f>
        <v>-12440.218452475265</v>
      </c>
      <c r="H21" s="2">
        <f t="shared" ref="H21:J21" si="3">$C$21*2</f>
        <v>-12440.218452475265</v>
      </c>
      <c r="I21" s="2">
        <f t="shared" si="3"/>
        <v>-12440.218452475265</v>
      </c>
      <c r="J21" s="2">
        <f t="shared" si="3"/>
        <v>-12440.218452475265</v>
      </c>
    </row>
    <row r="22" spans="1:10" x14ac:dyDescent="0.3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3">
      <c r="A23" s="2" t="s">
        <v>2</v>
      </c>
      <c r="B23" s="4">
        <v>0.1</v>
      </c>
      <c r="C23" s="2"/>
      <c r="D23" s="2"/>
      <c r="E23" s="2"/>
      <c r="F23" s="2"/>
      <c r="G23" s="2"/>
      <c r="H23" s="2"/>
      <c r="I23" s="2"/>
      <c r="J23" s="2"/>
    </row>
    <row r="24" spans="1:10" x14ac:dyDescent="0.3">
      <c r="A24" s="2" t="s">
        <v>24</v>
      </c>
      <c r="B24" s="26">
        <f>-NPV(B23,C21:J21)</f>
        <v>46650.738020973324</v>
      </c>
      <c r="C24" s="2"/>
      <c r="D24" s="2"/>
      <c r="E24" s="2"/>
      <c r="F24" s="2"/>
      <c r="G24" s="2"/>
      <c r="H24" s="2"/>
      <c r="I24" s="2"/>
      <c r="J24" s="2"/>
    </row>
    <row r="25" spans="1:10" x14ac:dyDescent="0.3">
      <c r="A25" s="2" t="s">
        <v>25</v>
      </c>
      <c r="B25" s="26">
        <f>-FV(B23,J20,,B24)</f>
        <v>100000.00000000001</v>
      </c>
      <c r="C25" s="2"/>
      <c r="D25" s="2"/>
      <c r="E25" s="2"/>
      <c r="F25" s="2"/>
      <c r="G25" s="2"/>
      <c r="H25" s="2"/>
      <c r="I25" s="2"/>
      <c r="J25" s="2"/>
    </row>
    <row r="26" spans="1:10" x14ac:dyDescent="0.3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3">
      <c r="A27" s="7" t="s">
        <v>61</v>
      </c>
      <c r="B27" s="2">
        <f>C21</f>
        <v>-6220.1092262376324</v>
      </c>
      <c r="C27" s="2"/>
      <c r="D27" s="2"/>
      <c r="E27" s="2"/>
      <c r="F27" s="2"/>
      <c r="G27" s="2"/>
      <c r="H27" s="2"/>
      <c r="I27" s="2"/>
      <c r="J27" s="2"/>
    </row>
    <row r="29" spans="1:10" x14ac:dyDescent="0.3">
      <c r="A29" s="9">
        <v>3.33</v>
      </c>
      <c r="B29" s="2"/>
      <c r="C29" s="2"/>
      <c r="D29" s="2"/>
      <c r="E29" s="2"/>
      <c r="F29" s="2"/>
      <c r="G29" s="2"/>
    </row>
    <row r="30" spans="1:10" x14ac:dyDescent="0.3">
      <c r="A30" s="2" t="s">
        <v>0</v>
      </c>
      <c r="B30" s="2">
        <v>0</v>
      </c>
      <c r="C30" s="2">
        <v>1</v>
      </c>
      <c r="D30" s="2">
        <v>2</v>
      </c>
      <c r="E30" s="2">
        <v>3</v>
      </c>
      <c r="F30" s="2">
        <v>4</v>
      </c>
      <c r="G30" s="2">
        <v>5</v>
      </c>
    </row>
    <row r="31" spans="1:10" x14ac:dyDescent="0.3">
      <c r="A31" s="2" t="s">
        <v>62</v>
      </c>
      <c r="B31" s="2"/>
      <c r="C31" s="2">
        <v>50000</v>
      </c>
      <c r="D31" s="2">
        <f>C31+1000</f>
        <v>51000</v>
      </c>
      <c r="E31" s="2">
        <f t="shared" ref="E31:G31" si="4">D31+1000</f>
        <v>52000</v>
      </c>
      <c r="F31" s="2">
        <f t="shared" si="4"/>
        <v>53000</v>
      </c>
      <c r="G31" s="2">
        <f t="shared" si="4"/>
        <v>54000</v>
      </c>
    </row>
    <row r="32" spans="1:10" x14ac:dyDescent="0.3">
      <c r="A32" s="2" t="s">
        <v>63</v>
      </c>
      <c r="B32" s="2"/>
      <c r="C32" s="2">
        <v>56</v>
      </c>
      <c r="D32" s="2">
        <f>C32+1</f>
        <v>57</v>
      </c>
      <c r="E32" s="2">
        <f t="shared" ref="E32:G32" si="5">D32+1</f>
        <v>58</v>
      </c>
      <c r="F32" s="2">
        <f t="shared" si="5"/>
        <v>59</v>
      </c>
      <c r="G32" s="2">
        <f t="shared" si="5"/>
        <v>60</v>
      </c>
    </row>
    <row r="33" spans="1:14" x14ac:dyDescent="0.3">
      <c r="A33" s="2" t="s">
        <v>64</v>
      </c>
      <c r="B33" s="2"/>
      <c r="C33" s="2">
        <f>C31*C32</f>
        <v>2800000</v>
      </c>
      <c r="D33" s="2">
        <f t="shared" ref="D33:G33" si="6">D31*D32</f>
        <v>2907000</v>
      </c>
      <c r="E33" s="2">
        <f t="shared" si="6"/>
        <v>3016000</v>
      </c>
      <c r="F33" s="2">
        <f t="shared" si="6"/>
        <v>3127000</v>
      </c>
      <c r="G33" s="2">
        <f t="shared" si="6"/>
        <v>3240000</v>
      </c>
    </row>
    <row r="34" spans="1:14" x14ac:dyDescent="0.3">
      <c r="A34" s="2"/>
      <c r="B34" s="2"/>
      <c r="C34" s="2"/>
      <c r="D34" s="2"/>
      <c r="E34" s="2"/>
      <c r="F34" s="2"/>
      <c r="G34" s="2"/>
    </row>
    <row r="35" spans="1:14" x14ac:dyDescent="0.3">
      <c r="A35" s="2" t="s">
        <v>2</v>
      </c>
      <c r="B35" s="4">
        <v>0.08</v>
      </c>
      <c r="C35" s="2"/>
      <c r="D35" s="2"/>
      <c r="E35" s="2"/>
      <c r="F35" s="2"/>
      <c r="G35" s="2"/>
    </row>
    <row r="36" spans="1:14" x14ac:dyDescent="0.3">
      <c r="A36" s="2" t="s">
        <v>24</v>
      </c>
      <c r="B36" s="26">
        <f>NPV(B35,C33:G33)</f>
        <v>11982602.490210576</v>
      </c>
      <c r="C36" s="2"/>
      <c r="D36" s="2"/>
      <c r="E36" s="2"/>
      <c r="F36" s="2"/>
      <c r="G36" s="2"/>
    </row>
    <row r="37" spans="1:14" x14ac:dyDescent="0.3">
      <c r="A37" s="2" t="s">
        <v>25</v>
      </c>
      <c r="B37" s="26">
        <f>-FV(B35,5,,B36)</f>
        <v>17606374.272</v>
      </c>
      <c r="C37" s="2"/>
      <c r="D37" s="2"/>
      <c r="E37" s="2"/>
      <c r="F37" s="2"/>
      <c r="G37" s="2"/>
    </row>
    <row r="39" spans="1:14" x14ac:dyDescent="0.3">
      <c r="A39" s="15">
        <v>3.6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3">
      <c r="A40" s="2" t="s">
        <v>0</v>
      </c>
      <c r="B40" s="2">
        <v>0</v>
      </c>
      <c r="C40" s="2">
        <v>1</v>
      </c>
      <c r="D40" s="2">
        <v>2</v>
      </c>
      <c r="E40" s="2">
        <v>3</v>
      </c>
      <c r="F40" s="2">
        <v>4</v>
      </c>
      <c r="G40" s="2">
        <v>5</v>
      </c>
      <c r="H40" s="2">
        <v>6</v>
      </c>
      <c r="I40" s="2">
        <v>7</v>
      </c>
      <c r="J40" s="2">
        <v>8</v>
      </c>
      <c r="K40" s="2">
        <v>9</v>
      </c>
      <c r="L40" s="2">
        <v>10</v>
      </c>
      <c r="M40" s="2">
        <v>11</v>
      </c>
      <c r="N40" s="2">
        <v>12</v>
      </c>
    </row>
    <row r="41" spans="1:14" x14ac:dyDescent="0.3">
      <c r="A41" s="2" t="s">
        <v>66</v>
      </c>
      <c r="B41" s="2">
        <v>50000</v>
      </c>
      <c r="C41" s="2">
        <v>0</v>
      </c>
      <c r="D41" s="2">
        <v>0</v>
      </c>
      <c r="E41" s="2">
        <v>50000</v>
      </c>
      <c r="F41" s="2">
        <v>0</v>
      </c>
      <c r="G41" s="2">
        <v>0</v>
      </c>
      <c r="H41" s="2">
        <v>50000</v>
      </c>
      <c r="I41" s="2"/>
      <c r="J41" s="2"/>
      <c r="K41" s="2"/>
      <c r="L41" s="2"/>
      <c r="M41" s="2"/>
      <c r="N41" s="2"/>
    </row>
    <row r="42" spans="1:14" x14ac:dyDescent="0.3">
      <c r="A42" s="2" t="s">
        <v>4</v>
      </c>
      <c r="B42" s="2"/>
      <c r="C42" s="2">
        <v>0</v>
      </c>
      <c r="D42" s="2">
        <v>0</v>
      </c>
      <c r="E42" s="2">
        <v>-19500</v>
      </c>
      <c r="F42" s="2">
        <v>-19500</v>
      </c>
      <c r="G42" s="2">
        <v>-19500</v>
      </c>
      <c r="H42" s="2">
        <v>-19500</v>
      </c>
      <c r="I42" s="2">
        <v>-19500</v>
      </c>
      <c r="J42" s="2">
        <v>-19500</v>
      </c>
      <c r="K42" s="2">
        <v>-19500</v>
      </c>
      <c r="L42" s="2">
        <v>-19500</v>
      </c>
      <c r="M42" s="2">
        <v>-19500</v>
      </c>
      <c r="N42" s="2">
        <v>-19500</v>
      </c>
    </row>
    <row r="43" spans="1:14" x14ac:dyDescent="0.3">
      <c r="A43" s="2" t="s">
        <v>65</v>
      </c>
      <c r="B43" s="2"/>
      <c r="C43" s="2">
        <v>-20000</v>
      </c>
      <c r="D43" s="2">
        <f>-20000-20000</f>
        <v>-40000</v>
      </c>
      <c r="E43" s="2">
        <v>-20000</v>
      </c>
      <c r="F43" s="2">
        <v>-20000</v>
      </c>
      <c r="G43" s="2">
        <v>-20000</v>
      </c>
      <c r="H43" s="2">
        <v>-20000</v>
      </c>
      <c r="I43" s="2">
        <v>-40000</v>
      </c>
      <c r="J43" s="2"/>
      <c r="K43" s="2"/>
      <c r="L43" s="2"/>
      <c r="M43" s="2"/>
      <c r="N43" s="2"/>
    </row>
    <row r="44" spans="1:14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3">
      <c r="A45" s="2" t="s">
        <v>2</v>
      </c>
      <c r="B45" s="4">
        <v>0.05</v>
      </c>
      <c r="C45" s="2"/>
      <c r="D45" s="2" t="s">
        <v>40</v>
      </c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3">
      <c r="A46" s="2" t="s">
        <v>67</v>
      </c>
      <c r="B46" s="26">
        <f>PV(B45,2,,NPV(B45,E42:N42))</f>
        <v>136574.90350939121</v>
      </c>
      <c r="C46" s="39">
        <f>B46-$B$48</f>
        <v>6072.2537509860413</v>
      </c>
      <c r="D46" s="26">
        <f>-PMT($B$45,12,C46)</f>
        <v>685.10451920543449</v>
      </c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3">
      <c r="A47" s="2" t="s">
        <v>68</v>
      </c>
      <c r="B47" s="26">
        <f>-NPV(B45,C43:I43)</f>
        <v>148081.68411971477</v>
      </c>
      <c r="C47" s="39">
        <f>B47-$B$48</f>
        <v>17579.034361309605</v>
      </c>
      <c r="D47" s="26">
        <f>-PMT($B$45,12,C47)</f>
        <v>1983.3617595847591</v>
      </c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3">
      <c r="A48" s="2" t="s">
        <v>24</v>
      </c>
      <c r="B48" s="26">
        <f>NPV(B45,C41:H41)+B41</f>
        <v>130502.64975840517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50" spans="1:6" x14ac:dyDescent="0.3">
      <c r="A50" s="9">
        <v>3.75</v>
      </c>
      <c r="B50" s="2"/>
      <c r="C50" s="2"/>
      <c r="D50" s="2"/>
      <c r="E50" s="2"/>
      <c r="F50" s="2"/>
    </row>
    <row r="51" spans="1:6" x14ac:dyDescent="0.3">
      <c r="A51" s="2" t="s">
        <v>69</v>
      </c>
      <c r="B51" s="2">
        <v>0</v>
      </c>
      <c r="C51" s="2">
        <v>1</v>
      </c>
      <c r="D51" s="2">
        <v>2</v>
      </c>
      <c r="E51" s="2">
        <v>3</v>
      </c>
      <c r="F51" s="2">
        <v>4</v>
      </c>
    </row>
    <row r="52" spans="1:6" x14ac:dyDescent="0.3">
      <c r="A52" s="2"/>
      <c r="B52" s="2">
        <v>10000</v>
      </c>
      <c r="C52" s="2"/>
      <c r="D52" s="2"/>
      <c r="E52" s="2"/>
      <c r="F52" s="2"/>
    </row>
    <row r="53" spans="1:6" x14ac:dyDescent="0.3">
      <c r="A53" s="2"/>
      <c r="B53" s="2"/>
      <c r="C53" s="2">
        <v>0</v>
      </c>
      <c r="D53" s="2">
        <v>8561.9883040935692</v>
      </c>
      <c r="E53" s="2">
        <v>0</v>
      </c>
      <c r="F53" s="2">
        <f>D53/2</f>
        <v>4280.9941520467846</v>
      </c>
    </row>
    <row r="54" spans="1:6" x14ac:dyDescent="0.3">
      <c r="A54" s="2"/>
      <c r="B54" s="2"/>
      <c r="C54" s="2"/>
      <c r="D54" s="2"/>
      <c r="E54" s="2"/>
      <c r="F54" s="2"/>
    </row>
    <row r="55" spans="1:6" x14ac:dyDescent="0.3">
      <c r="A55" s="2" t="s">
        <v>2</v>
      </c>
      <c r="B55" s="2"/>
      <c r="C55" s="2"/>
      <c r="D55" s="2"/>
      <c r="E55" s="2"/>
      <c r="F55" s="2"/>
    </row>
    <row r="56" spans="1:6" x14ac:dyDescent="0.3">
      <c r="A56" s="4">
        <v>0.1</v>
      </c>
      <c r="B56" s="2"/>
      <c r="C56" s="2"/>
      <c r="D56" s="2"/>
      <c r="E56" s="2"/>
      <c r="F56" s="2"/>
    </row>
    <row r="57" spans="1:6" x14ac:dyDescent="0.3">
      <c r="A57" s="2" t="s">
        <v>24</v>
      </c>
      <c r="B57" s="2"/>
      <c r="C57" s="2"/>
      <c r="D57" s="2"/>
      <c r="E57" s="2"/>
      <c r="F57" s="2"/>
    </row>
    <row r="58" spans="1:6" x14ac:dyDescent="0.3">
      <c r="A58" s="26">
        <f>NPV(A56,C53:F53)</f>
        <v>10000</v>
      </c>
      <c r="B58" s="2"/>
      <c r="C58" s="2"/>
      <c r="D58" s="2"/>
      <c r="E58" s="2"/>
      <c r="F58" s="2"/>
    </row>
    <row r="60" spans="1:6" x14ac:dyDescent="0.3">
      <c r="A60" s="9">
        <v>3.77</v>
      </c>
      <c r="B60" s="2"/>
    </row>
    <row r="61" spans="1:6" x14ac:dyDescent="0.3">
      <c r="A61" s="2" t="s">
        <v>2</v>
      </c>
      <c r="B61" s="4">
        <v>0.15</v>
      </c>
    </row>
    <row r="62" spans="1:6" x14ac:dyDescent="0.3">
      <c r="A62" s="2" t="s">
        <v>70</v>
      </c>
      <c r="B62" s="2">
        <v>100000</v>
      </c>
    </row>
    <row r="63" spans="1:6" x14ac:dyDescent="0.3">
      <c r="A63" s="2" t="s">
        <v>71</v>
      </c>
      <c r="B63" s="2">
        <v>150000</v>
      </c>
    </row>
    <row r="64" spans="1:6" x14ac:dyDescent="0.3">
      <c r="A64" s="2" t="s">
        <v>72</v>
      </c>
      <c r="B64" s="2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DC93E-E18B-4D8F-AD96-CDC386030CCB}">
  <dimension ref="A1:G20"/>
  <sheetViews>
    <sheetView workbookViewId="0">
      <selection activeCell="B7" sqref="B7"/>
    </sheetView>
  </sheetViews>
  <sheetFormatPr defaultRowHeight="16.5" x14ac:dyDescent="0.3"/>
  <cols>
    <col min="1" max="1" width="9.5" bestFit="1" customWidth="1"/>
    <col min="3" max="3" width="9.5" bestFit="1" customWidth="1"/>
  </cols>
  <sheetData>
    <row r="1" spans="1:5" x14ac:dyDescent="0.3">
      <c r="A1" s="16">
        <v>4.1399999999999997</v>
      </c>
      <c r="B1" s="17"/>
      <c r="C1" s="17"/>
      <c r="D1" s="17"/>
    </row>
    <row r="2" spans="1:5" x14ac:dyDescent="0.3">
      <c r="A2" s="17" t="s">
        <v>73</v>
      </c>
      <c r="B2" s="17" t="s">
        <v>75</v>
      </c>
      <c r="C2" s="41">
        <f>A6*4</f>
        <v>0.13953436864389013</v>
      </c>
      <c r="D2" s="17" t="s">
        <v>18</v>
      </c>
    </row>
    <row r="3" spans="1:5" x14ac:dyDescent="0.3">
      <c r="A3" s="17" t="s">
        <v>74</v>
      </c>
      <c r="B3" s="17" t="s">
        <v>76</v>
      </c>
      <c r="C3" s="41">
        <f>(1+C2/12)^12-1</f>
        <v>0.14881314274289936</v>
      </c>
      <c r="D3" s="17" t="s">
        <v>18</v>
      </c>
    </row>
    <row r="4" spans="1:5" x14ac:dyDescent="0.3">
      <c r="A4" s="17"/>
      <c r="B4" s="17"/>
      <c r="C4" s="17"/>
      <c r="D4" s="17"/>
    </row>
    <row r="5" spans="1:5" x14ac:dyDescent="0.3">
      <c r="A5" s="42" t="s">
        <v>77</v>
      </c>
      <c r="B5" s="17"/>
      <c r="C5" s="17"/>
      <c r="D5" s="17"/>
    </row>
    <row r="6" spans="1:5" x14ac:dyDescent="0.3">
      <c r="A6" s="43">
        <v>3.4883592160972532E-2</v>
      </c>
      <c r="B6" s="17"/>
      <c r="C6" s="44">
        <f>(1+A6/3)^3-1</f>
        <v>3.5290785999525509E-2</v>
      </c>
      <c r="D6" s="17"/>
    </row>
    <row r="8" spans="1:5" x14ac:dyDescent="0.3">
      <c r="A8" s="37">
        <v>4.4400000000000004</v>
      </c>
    </row>
    <row r="9" spans="1:5" x14ac:dyDescent="0.3">
      <c r="E9" s="38"/>
    </row>
    <row r="11" spans="1:5" x14ac:dyDescent="0.3">
      <c r="B11" s="40"/>
    </row>
    <row r="12" spans="1:5" x14ac:dyDescent="0.3">
      <c r="B12" s="1"/>
    </row>
    <row r="14" spans="1:5" x14ac:dyDescent="0.3">
      <c r="B14" s="40"/>
    </row>
    <row r="18" spans="2:7" x14ac:dyDescent="0.3">
      <c r="B18" s="35"/>
      <c r="C18" s="36"/>
      <c r="D18" s="36"/>
      <c r="E18" s="36"/>
      <c r="F18" s="36"/>
      <c r="G18" s="36"/>
    </row>
    <row r="20" spans="2:7" x14ac:dyDescent="0.3">
      <c r="B20" s="38"/>
      <c r="C20" s="38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4D843-0698-4887-9A0B-056DD00A7A83}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AC5EA-5C0F-4A37-82E8-F7CFFB1E3D4C}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40D76-8F99-49B8-ADCE-4048820F2CF9}">
  <dimension ref="A1"/>
  <sheetViews>
    <sheetView zoomScale="55" zoomScaleNormal="55" workbookViewId="0">
      <selection activeCell="M17" sqref="M17"/>
    </sheetView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636C2-1085-401E-B1C5-FAA31C353284}">
  <dimension ref="A1:C10"/>
  <sheetViews>
    <sheetView zoomScale="70" zoomScaleNormal="70" workbookViewId="0"/>
  </sheetViews>
  <sheetFormatPr defaultRowHeight="16.5" x14ac:dyDescent="0.3"/>
  <sheetData>
    <row r="1" spans="1:3" x14ac:dyDescent="0.3">
      <c r="B1" s="1"/>
    </row>
    <row r="4" spans="1:3" x14ac:dyDescent="0.3">
      <c r="C4" s="46"/>
    </row>
    <row r="5" spans="1:3" x14ac:dyDescent="0.3">
      <c r="A5" s="1"/>
      <c r="B5" s="45"/>
    </row>
    <row r="10" spans="1:3" x14ac:dyDescent="0.3">
      <c r="B10" s="3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BCE6F-7615-48D1-B752-459C8345AB3C}">
  <dimension ref="A1:H63"/>
  <sheetViews>
    <sheetView zoomScale="40" zoomScaleNormal="40" workbookViewId="0">
      <selection activeCell="E41" sqref="E41"/>
    </sheetView>
  </sheetViews>
  <sheetFormatPr defaultRowHeight="16.5" x14ac:dyDescent="0.3"/>
  <cols>
    <col min="2" max="2" width="13.125" bestFit="1" customWidth="1"/>
    <col min="3" max="5" width="10.875" bestFit="1" customWidth="1"/>
    <col min="6" max="6" width="23.125" bestFit="1" customWidth="1"/>
    <col min="7" max="7" width="10.875" bestFit="1" customWidth="1"/>
  </cols>
  <sheetData>
    <row r="1" spans="1:6" x14ac:dyDescent="0.3">
      <c r="A1" s="2">
        <v>9.16</v>
      </c>
      <c r="B1" s="26"/>
      <c r="C1" s="2"/>
      <c r="D1" s="2"/>
      <c r="F1" s="36"/>
    </row>
    <row r="2" spans="1:6" x14ac:dyDescent="0.3">
      <c r="A2" s="2"/>
      <c r="B2" s="26"/>
      <c r="C2" s="2"/>
      <c r="D2" s="2"/>
    </row>
    <row r="3" spans="1:6" x14ac:dyDescent="0.3">
      <c r="A3" s="2" t="s">
        <v>86</v>
      </c>
      <c r="B3" s="26">
        <v>820000</v>
      </c>
      <c r="C3" s="2"/>
      <c r="D3" s="2" t="s">
        <v>18</v>
      </c>
    </row>
    <row r="4" spans="1:6" x14ac:dyDescent="0.3">
      <c r="A4" s="2" t="s">
        <v>87</v>
      </c>
      <c r="B4" s="26">
        <v>135000</v>
      </c>
      <c r="C4" s="2"/>
      <c r="D4" s="2" t="s">
        <v>18</v>
      </c>
    </row>
    <row r="5" spans="1:6" x14ac:dyDescent="0.3">
      <c r="A5" s="2" t="s">
        <v>88</v>
      </c>
      <c r="B5" s="26">
        <v>9000000</v>
      </c>
      <c r="C5" s="2"/>
      <c r="D5" s="2"/>
    </row>
    <row r="6" spans="1:6" x14ac:dyDescent="0.3">
      <c r="A6" s="2" t="s">
        <v>88</v>
      </c>
      <c r="B6" s="26">
        <f>-PMT(B9,B10,B5)</f>
        <v>784661.01279166306</v>
      </c>
      <c r="C6" s="2"/>
      <c r="D6" s="2" t="s">
        <v>18</v>
      </c>
    </row>
    <row r="7" spans="1:6" x14ac:dyDescent="0.3">
      <c r="A7" s="2"/>
      <c r="B7" s="2"/>
      <c r="C7" s="2"/>
      <c r="D7" s="2"/>
    </row>
    <row r="8" spans="1:6" x14ac:dyDescent="0.3">
      <c r="A8" s="2" t="s">
        <v>89</v>
      </c>
      <c r="B8" s="2"/>
      <c r="C8" s="2"/>
      <c r="D8" s="7"/>
    </row>
    <row r="9" spans="1:6" x14ac:dyDescent="0.3">
      <c r="A9" s="2" t="s">
        <v>2</v>
      </c>
      <c r="B9" s="4">
        <v>0.06</v>
      </c>
      <c r="C9" s="2"/>
      <c r="D9" s="2"/>
    </row>
    <row r="10" spans="1:6" x14ac:dyDescent="0.3">
      <c r="A10" s="2" t="s">
        <v>79</v>
      </c>
      <c r="B10" s="39">
        <v>20</v>
      </c>
      <c r="C10" s="2" t="s">
        <v>69</v>
      </c>
      <c r="D10" s="2"/>
    </row>
    <row r="11" spans="1:6" x14ac:dyDescent="0.3">
      <c r="A11" s="2">
        <f>(B3-B4)/B6</f>
        <v>0.87298844830191114</v>
      </c>
      <c r="B11" s="47" t="s">
        <v>85</v>
      </c>
      <c r="C11" s="2"/>
      <c r="D11" s="2"/>
    </row>
    <row r="12" spans="1:6" x14ac:dyDescent="0.3">
      <c r="A12" s="2"/>
      <c r="B12" s="2"/>
      <c r="C12" s="2"/>
      <c r="D12" s="2"/>
    </row>
    <row r="13" spans="1:6" x14ac:dyDescent="0.3">
      <c r="A13" s="2" t="s">
        <v>89</v>
      </c>
      <c r="B13" s="2" t="s">
        <v>90</v>
      </c>
      <c r="C13" s="2"/>
      <c r="D13" s="2"/>
    </row>
    <row r="14" spans="1:6" x14ac:dyDescent="0.3">
      <c r="A14" s="2" t="s">
        <v>2</v>
      </c>
      <c r="B14" s="4">
        <v>0.06</v>
      </c>
      <c r="C14" s="2"/>
      <c r="D14" s="2"/>
    </row>
    <row r="15" spans="1:6" x14ac:dyDescent="0.3">
      <c r="A15" s="2" t="s">
        <v>79</v>
      </c>
      <c r="B15" s="2">
        <v>20</v>
      </c>
      <c r="C15" s="2" t="s">
        <v>69</v>
      </c>
      <c r="D15" s="2"/>
    </row>
    <row r="16" spans="1:6" x14ac:dyDescent="0.3">
      <c r="A16" s="2">
        <f>B3/B6</f>
        <v>1.04503726658039</v>
      </c>
      <c r="B16" s="7" t="s">
        <v>91</v>
      </c>
      <c r="C16" s="2"/>
      <c r="D16" s="2"/>
    </row>
    <row r="18" spans="1:8" x14ac:dyDescent="0.3">
      <c r="A18" s="17">
        <v>9.26</v>
      </c>
      <c r="B18" s="17"/>
      <c r="C18" s="17"/>
      <c r="D18" s="17"/>
      <c r="E18" s="17"/>
      <c r="F18" s="17"/>
      <c r="G18" s="17"/>
      <c r="H18" s="17"/>
    </row>
    <row r="19" spans="1:8" x14ac:dyDescent="0.3">
      <c r="A19" s="17"/>
      <c r="B19" s="31"/>
      <c r="C19" s="17"/>
      <c r="D19" s="17"/>
      <c r="E19" s="17"/>
      <c r="F19" s="17"/>
      <c r="G19" s="17"/>
      <c r="H19" s="17"/>
    </row>
    <row r="20" spans="1:8" x14ac:dyDescent="0.3">
      <c r="A20" s="17" t="s">
        <v>97</v>
      </c>
      <c r="B20" s="48">
        <f>33-18</f>
        <v>15</v>
      </c>
      <c r="C20" s="17" t="s">
        <v>93</v>
      </c>
      <c r="D20" s="17" t="s">
        <v>82</v>
      </c>
      <c r="E20" s="17"/>
      <c r="F20" s="17" t="s">
        <v>101</v>
      </c>
      <c r="G20" s="49">
        <f>B31/2</f>
        <v>307500</v>
      </c>
      <c r="H20" s="17" t="s">
        <v>93</v>
      </c>
    </row>
    <row r="21" spans="1:8" x14ac:dyDescent="0.3">
      <c r="A21" s="17" t="s">
        <v>97</v>
      </c>
      <c r="B21" s="48">
        <v>41000</v>
      </c>
      <c r="C21" s="17" t="s">
        <v>98</v>
      </c>
      <c r="D21" s="17"/>
      <c r="E21" s="17"/>
      <c r="F21" s="17" t="s">
        <v>88</v>
      </c>
      <c r="G21" s="50">
        <f>B29</f>
        <v>22816.453088666338</v>
      </c>
      <c r="H21" s="17"/>
    </row>
    <row r="22" spans="1:8" x14ac:dyDescent="0.3">
      <c r="A22" s="17"/>
      <c r="B22" s="48"/>
      <c r="C22" s="17"/>
      <c r="D22" s="17"/>
      <c r="E22" s="17"/>
      <c r="F22" s="17" t="s">
        <v>102</v>
      </c>
      <c r="G22" s="17">
        <f>G20/G21</f>
        <v>13.477116658099023</v>
      </c>
      <c r="H22" s="33" t="s">
        <v>91</v>
      </c>
    </row>
    <row r="23" spans="1:8" x14ac:dyDescent="0.3">
      <c r="A23" s="17" t="s">
        <v>92</v>
      </c>
      <c r="B23" s="48">
        <v>1100</v>
      </c>
      <c r="C23" s="17" t="s">
        <v>93</v>
      </c>
      <c r="D23" s="17" t="s">
        <v>83</v>
      </c>
      <c r="E23" s="17"/>
      <c r="F23" s="17"/>
      <c r="G23" s="17"/>
      <c r="H23" s="17"/>
    </row>
    <row r="24" spans="1:8" x14ac:dyDescent="0.3">
      <c r="A24" s="17"/>
      <c r="B24" s="48">
        <v>85</v>
      </c>
      <c r="C24" s="17" t="s">
        <v>94</v>
      </c>
      <c r="D24" s="17"/>
      <c r="E24" s="17"/>
      <c r="F24" s="17"/>
      <c r="G24" s="17"/>
      <c r="H24" s="17"/>
    </row>
    <row r="25" spans="1:8" x14ac:dyDescent="0.3">
      <c r="A25" s="17"/>
      <c r="B25" s="48"/>
      <c r="C25" s="17"/>
      <c r="D25" s="17"/>
      <c r="E25" s="17"/>
      <c r="F25" s="17"/>
      <c r="G25" s="17"/>
      <c r="H25" s="17"/>
    </row>
    <row r="26" spans="1:8" x14ac:dyDescent="0.3">
      <c r="A26" s="17" t="s">
        <v>95</v>
      </c>
      <c r="B26" s="48">
        <v>750000</v>
      </c>
      <c r="C26" s="17"/>
      <c r="D26" s="17"/>
      <c r="E26" s="17"/>
      <c r="F26" s="17"/>
      <c r="G26" s="17"/>
      <c r="H26" s="17"/>
    </row>
    <row r="27" spans="1:8" x14ac:dyDescent="0.3">
      <c r="A27" s="17" t="s">
        <v>2</v>
      </c>
      <c r="B27" s="41">
        <v>5.0000000000000001E-3</v>
      </c>
      <c r="C27" s="17" t="s">
        <v>93</v>
      </c>
      <c r="D27" s="17"/>
      <c r="E27" s="17"/>
      <c r="F27" s="17"/>
      <c r="G27" s="17"/>
      <c r="H27" s="17"/>
    </row>
    <row r="28" spans="1:8" x14ac:dyDescent="0.3">
      <c r="A28" s="17" t="s">
        <v>79</v>
      </c>
      <c r="B28" s="48">
        <v>36</v>
      </c>
      <c r="C28" s="17" t="s">
        <v>96</v>
      </c>
      <c r="D28" s="17"/>
      <c r="E28" s="17"/>
      <c r="F28" s="17"/>
      <c r="G28" s="17"/>
      <c r="H28" s="17"/>
    </row>
    <row r="29" spans="1:8" x14ac:dyDescent="0.3">
      <c r="A29" s="17" t="s">
        <v>100</v>
      </c>
      <c r="B29" s="31">
        <f>-PMT(B27,B28,B26)</f>
        <v>22816.453088666338</v>
      </c>
      <c r="C29" s="17" t="s">
        <v>93</v>
      </c>
      <c r="D29" s="17"/>
      <c r="E29" s="17"/>
      <c r="F29" s="17"/>
      <c r="G29" s="17"/>
      <c r="H29" s="17"/>
    </row>
    <row r="30" spans="1:8" x14ac:dyDescent="0.3">
      <c r="A30" s="17"/>
      <c r="B30" s="48"/>
      <c r="C30" s="17"/>
      <c r="D30" s="17"/>
      <c r="E30" s="17"/>
      <c r="F30" s="17"/>
      <c r="G30" s="17"/>
      <c r="H30" s="17"/>
    </row>
    <row r="31" spans="1:8" x14ac:dyDescent="0.3">
      <c r="A31" s="17" t="s">
        <v>65</v>
      </c>
      <c r="B31" s="48">
        <f>B20*B21</f>
        <v>615000</v>
      </c>
      <c r="C31" s="17"/>
      <c r="D31" s="17"/>
      <c r="E31" s="17"/>
      <c r="F31" s="17"/>
      <c r="G31" s="17"/>
      <c r="H31" s="17"/>
    </row>
    <row r="32" spans="1:8" x14ac:dyDescent="0.3">
      <c r="A32" s="17" t="s">
        <v>81</v>
      </c>
      <c r="B32" s="48">
        <f>B23*B24</f>
        <v>93500</v>
      </c>
      <c r="C32" s="17"/>
      <c r="D32" s="17"/>
      <c r="E32" s="17"/>
      <c r="F32" s="17"/>
      <c r="G32" s="17"/>
      <c r="H32" s="17"/>
    </row>
    <row r="33" spans="1:8" x14ac:dyDescent="0.3">
      <c r="A33" s="17" t="s">
        <v>84</v>
      </c>
      <c r="B33" s="31">
        <f>B29</f>
        <v>22816.453088666338</v>
      </c>
      <c r="C33" s="17"/>
      <c r="D33" s="17"/>
      <c r="E33" s="17"/>
      <c r="F33" s="17"/>
      <c r="G33" s="17"/>
      <c r="H33" s="17"/>
    </row>
    <row r="34" spans="1:8" x14ac:dyDescent="0.3">
      <c r="A34" s="17" t="s">
        <v>99</v>
      </c>
      <c r="B34" s="31">
        <f>(B31-B32)/B33</f>
        <v>22.856313291702897</v>
      </c>
      <c r="C34" s="33" t="s">
        <v>91</v>
      </c>
      <c r="D34" s="17"/>
      <c r="E34" s="17"/>
      <c r="F34" s="17"/>
      <c r="G34" s="17"/>
      <c r="H34" s="17"/>
    </row>
    <row r="36" spans="1:8" x14ac:dyDescent="0.3">
      <c r="A36" s="17">
        <v>9.35</v>
      </c>
      <c r="B36" s="17"/>
      <c r="C36" s="17"/>
      <c r="D36" s="17"/>
      <c r="E36" s="17"/>
      <c r="F36" s="17"/>
      <c r="G36" s="17"/>
      <c r="H36" s="17"/>
    </row>
    <row r="37" spans="1:8" x14ac:dyDescent="0.3">
      <c r="A37" s="17"/>
      <c r="B37" s="17" t="s">
        <v>104</v>
      </c>
      <c r="C37" s="17" t="s">
        <v>103</v>
      </c>
      <c r="D37" s="17"/>
      <c r="E37" s="17" t="s">
        <v>53</v>
      </c>
      <c r="F37" s="17" t="s">
        <v>88</v>
      </c>
      <c r="G37" s="17" t="s">
        <v>78</v>
      </c>
      <c r="H37" s="17" t="s">
        <v>80</v>
      </c>
    </row>
    <row r="38" spans="1:8" x14ac:dyDescent="0.3">
      <c r="A38" s="17" t="s">
        <v>88</v>
      </c>
      <c r="B38" s="30">
        <v>200000</v>
      </c>
      <c r="C38" s="30">
        <v>1300000</v>
      </c>
      <c r="D38" s="30"/>
      <c r="E38" s="30" t="s">
        <v>103</v>
      </c>
      <c r="F38" s="30">
        <f>-PMT(B42,B43,C38)</f>
        <v>317057.90277378634</v>
      </c>
      <c r="G38" s="30">
        <f>C39</f>
        <v>9000</v>
      </c>
      <c r="H38" s="51">
        <f>-PMT(B42,B43,,C40)</f>
        <v>26083.604166206114</v>
      </c>
    </row>
    <row r="39" spans="1:8" x14ac:dyDescent="0.3">
      <c r="A39" s="17" t="s">
        <v>78</v>
      </c>
      <c r="B39" s="30">
        <v>80000</v>
      </c>
      <c r="C39" s="30">
        <v>9000</v>
      </c>
      <c r="D39" s="30"/>
      <c r="E39" s="30" t="s">
        <v>104</v>
      </c>
      <c r="F39" s="30">
        <f>-PMT(B42,B43,B38)</f>
        <v>48778.138888274814</v>
      </c>
      <c r="G39" s="30">
        <f>B39</f>
        <v>80000</v>
      </c>
      <c r="H39" s="30"/>
    </row>
    <row r="40" spans="1:8" x14ac:dyDescent="0.3">
      <c r="A40" s="17" t="s">
        <v>80</v>
      </c>
      <c r="B40" s="30"/>
      <c r="C40" s="30">
        <v>150000</v>
      </c>
      <c r="D40" s="30"/>
      <c r="E40" s="17"/>
      <c r="F40" s="17"/>
      <c r="G40" s="30"/>
      <c r="H40" s="30"/>
    </row>
    <row r="41" spans="1:8" x14ac:dyDescent="0.3">
      <c r="A41" s="17"/>
      <c r="B41" s="17"/>
      <c r="C41" s="17"/>
      <c r="D41" s="17"/>
      <c r="E41" s="30"/>
      <c r="F41" s="30" t="s">
        <v>106</v>
      </c>
      <c r="G41" s="30" t="s">
        <v>65</v>
      </c>
      <c r="H41" s="30"/>
    </row>
    <row r="42" spans="1:8" x14ac:dyDescent="0.3">
      <c r="A42" s="17" t="s">
        <v>2</v>
      </c>
      <c r="B42" s="19">
        <v>7.0000000000000007E-2</v>
      </c>
      <c r="C42" s="17"/>
      <c r="D42" s="17"/>
      <c r="E42" s="30" t="s">
        <v>105</v>
      </c>
      <c r="F42" s="30">
        <f>F38-H38-F39</f>
        <v>242196.15971930543</v>
      </c>
      <c r="G42" s="30">
        <f>G39-G38</f>
        <v>71000</v>
      </c>
      <c r="H42" s="30"/>
    </row>
    <row r="43" spans="1:8" x14ac:dyDescent="0.3">
      <c r="A43" s="17" t="s">
        <v>79</v>
      </c>
      <c r="B43" s="17">
        <v>5</v>
      </c>
      <c r="C43" s="17" t="s">
        <v>69</v>
      </c>
      <c r="D43" s="17"/>
      <c r="E43" s="17"/>
      <c r="F43" s="17"/>
      <c r="G43" s="17"/>
      <c r="H43" s="17"/>
    </row>
    <row r="44" spans="1:8" x14ac:dyDescent="0.3">
      <c r="A44" s="17"/>
      <c r="B44" s="17"/>
      <c r="C44" s="17"/>
      <c r="D44" s="17"/>
      <c r="E44" s="17" t="s">
        <v>99</v>
      </c>
      <c r="F44" s="17">
        <f>G42/F42</f>
        <v>0.29315080834595331</v>
      </c>
      <c r="G44" s="33" t="s">
        <v>85</v>
      </c>
      <c r="H44" s="17"/>
    </row>
    <row r="46" spans="1:8" x14ac:dyDescent="0.3">
      <c r="A46" s="17">
        <v>9.44</v>
      </c>
      <c r="B46" s="17"/>
      <c r="C46" s="17"/>
      <c r="D46" s="17"/>
      <c r="E46" s="17"/>
      <c r="F46" s="17"/>
      <c r="G46" s="17"/>
      <c r="H46" s="17"/>
    </row>
    <row r="47" spans="1:8" x14ac:dyDescent="0.3">
      <c r="A47" s="17"/>
      <c r="B47" s="17" t="s">
        <v>107</v>
      </c>
      <c r="C47" s="17" t="s">
        <v>108</v>
      </c>
      <c r="D47" s="17" t="s">
        <v>109</v>
      </c>
      <c r="E47" s="17" t="s">
        <v>110</v>
      </c>
      <c r="F47" s="17"/>
      <c r="G47" s="17" t="s">
        <v>117</v>
      </c>
      <c r="H47" s="17"/>
    </row>
    <row r="48" spans="1:8" x14ac:dyDescent="0.3">
      <c r="A48" s="17" t="s">
        <v>111</v>
      </c>
      <c r="B48" s="31">
        <v>58</v>
      </c>
      <c r="C48" s="31">
        <v>76</v>
      </c>
      <c r="D48" s="31">
        <v>2</v>
      </c>
      <c r="E48" s="31">
        <v>48</v>
      </c>
      <c r="F48" s="17"/>
      <c r="G48" s="32">
        <f>E51-D51</f>
        <v>5.6000000000000005</v>
      </c>
      <c r="H48" s="17"/>
    </row>
    <row r="49" spans="1:8" x14ac:dyDescent="0.3">
      <c r="A49" s="17" t="s">
        <v>114</v>
      </c>
      <c r="B49" s="31">
        <f>-PMT($B$56,$B$57,B48)</f>
        <v>3.8547690833991792</v>
      </c>
      <c r="C49" s="31">
        <f t="shared" ref="C49:E49" si="0">-PMT($B$56,$B$57,C48)</f>
        <v>5.0510767299713386</v>
      </c>
      <c r="D49" s="31">
        <f t="shared" si="0"/>
        <v>0.13292307184135102</v>
      </c>
      <c r="E49" s="31">
        <f t="shared" si="0"/>
        <v>3.1901537241924247</v>
      </c>
      <c r="F49" s="17"/>
      <c r="G49" s="32">
        <f>E52-D52</f>
        <v>5.357230652351074</v>
      </c>
      <c r="H49" s="17"/>
    </row>
    <row r="50" spans="1:8" x14ac:dyDescent="0.3">
      <c r="A50" s="17" t="s">
        <v>113</v>
      </c>
      <c r="B50" s="31">
        <v>5.5</v>
      </c>
      <c r="C50" s="31">
        <v>5.3</v>
      </c>
      <c r="D50" s="31">
        <v>2.1</v>
      </c>
      <c r="E50" s="31">
        <v>4.4000000000000004</v>
      </c>
      <c r="F50" s="17"/>
      <c r="G50" s="17">
        <f>G48/G49</f>
        <v>1.0453162022326563</v>
      </c>
      <c r="H50" s="17"/>
    </row>
    <row r="51" spans="1:8" x14ac:dyDescent="0.3">
      <c r="A51" s="17" t="s">
        <v>112</v>
      </c>
      <c r="B51" s="31">
        <v>11.1</v>
      </c>
      <c r="C51" s="31">
        <v>12</v>
      </c>
      <c r="D51" s="31">
        <v>2.7</v>
      </c>
      <c r="E51" s="31">
        <v>8.3000000000000007</v>
      </c>
      <c r="F51" s="17"/>
      <c r="G51" s="17" t="s">
        <v>118</v>
      </c>
      <c r="H51" s="17"/>
    </row>
    <row r="52" spans="1:8" x14ac:dyDescent="0.3">
      <c r="A52" s="17" t="s">
        <v>115</v>
      </c>
      <c r="B52" s="31">
        <f>B50+B49</f>
        <v>9.3547690833991801</v>
      </c>
      <c r="C52" s="31">
        <f>C50+C49</f>
        <v>10.351076729971339</v>
      </c>
      <c r="D52" s="31">
        <f>D50+D49</f>
        <v>2.2329230718413511</v>
      </c>
      <c r="E52" s="31">
        <f>E50+E49</f>
        <v>7.5901537241924251</v>
      </c>
      <c r="F52" s="17"/>
      <c r="G52" s="17"/>
      <c r="H52" s="17"/>
    </row>
    <row r="53" spans="1:8" x14ac:dyDescent="0.3">
      <c r="A53" s="17" t="s">
        <v>116</v>
      </c>
      <c r="B53" s="52">
        <f>B51/B52</f>
        <v>1.1865605554815755</v>
      </c>
      <c r="C53" s="52">
        <f t="shared" ref="C53:E53" si="1">C51/C52</f>
        <v>1.1592996857277886</v>
      </c>
      <c r="D53" s="52">
        <f t="shared" si="1"/>
        <v>1.2091773487626156</v>
      </c>
      <c r="E53" s="52">
        <f t="shared" si="1"/>
        <v>1.0935219893564279</v>
      </c>
      <c r="F53" s="17"/>
      <c r="G53" s="17" t="s">
        <v>119</v>
      </c>
      <c r="H53" s="17"/>
    </row>
    <row r="54" spans="1:8" x14ac:dyDescent="0.3">
      <c r="A54" s="17"/>
      <c r="B54" s="17"/>
      <c r="C54" s="17"/>
      <c r="D54" s="17"/>
      <c r="E54" s="17"/>
      <c r="F54" s="17"/>
      <c r="G54" s="32">
        <f>B51-E51</f>
        <v>2.7999999999999989</v>
      </c>
      <c r="H54" s="17"/>
    </row>
    <row r="55" spans="1:8" x14ac:dyDescent="0.3">
      <c r="A55" s="17"/>
      <c r="B55" s="17"/>
      <c r="C55" s="17"/>
      <c r="D55" s="17"/>
      <c r="E55" s="17"/>
      <c r="F55" s="17"/>
      <c r="G55" s="32">
        <f>B52-E52</f>
        <v>1.7646153592067551</v>
      </c>
      <c r="H55" s="17"/>
    </row>
    <row r="56" spans="1:8" x14ac:dyDescent="0.3">
      <c r="A56" s="17" t="s">
        <v>2</v>
      </c>
      <c r="B56" s="19">
        <v>0.06</v>
      </c>
      <c r="C56" s="17"/>
      <c r="D56" s="17"/>
      <c r="E56" s="17"/>
      <c r="F56" s="17"/>
      <c r="G56" s="17">
        <f>G54/G55</f>
        <v>1.5867480612084657</v>
      </c>
      <c r="H56" s="17"/>
    </row>
    <row r="57" spans="1:8" x14ac:dyDescent="0.3">
      <c r="A57" s="17" t="s">
        <v>79</v>
      </c>
      <c r="B57" s="17">
        <v>40</v>
      </c>
      <c r="C57" s="17" t="s">
        <v>69</v>
      </c>
      <c r="D57" s="17"/>
      <c r="E57" s="17"/>
      <c r="F57" s="17"/>
      <c r="G57" s="17" t="s">
        <v>120</v>
      </c>
      <c r="H57" s="17"/>
    </row>
    <row r="58" spans="1:8" x14ac:dyDescent="0.3">
      <c r="A58" s="17"/>
      <c r="B58" s="17"/>
      <c r="C58" s="17"/>
      <c r="D58" s="17"/>
      <c r="E58" s="17"/>
      <c r="F58" s="17"/>
      <c r="G58" s="17"/>
      <c r="H58" s="17"/>
    </row>
    <row r="59" spans="1:8" x14ac:dyDescent="0.3">
      <c r="A59" s="17"/>
      <c r="B59" s="17"/>
      <c r="C59" s="17"/>
      <c r="D59" s="17"/>
      <c r="E59" s="17"/>
      <c r="F59" s="17"/>
      <c r="G59" s="17" t="s">
        <v>121</v>
      </c>
      <c r="H59" s="17"/>
    </row>
    <row r="60" spans="1:8" x14ac:dyDescent="0.3">
      <c r="A60" s="17"/>
      <c r="B60" s="17"/>
      <c r="C60" s="17"/>
      <c r="D60" s="17"/>
      <c r="E60" s="17"/>
      <c r="F60" s="17"/>
      <c r="G60" s="32">
        <f>C51-B51</f>
        <v>0.90000000000000036</v>
      </c>
      <c r="H60" s="17"/>
    </row>
    <row r="61" spans="1:8" x14ac:dyDescent="0.3">
      <c r="A61" s="17"/>
      <c r="B61" s="17"/>
      <c r="C61" s="17"/>
      <c r="D61" s="17"/>
      <c r="E61" s="17"/>
      <c r="F61" s="17"/>
      <c r="G61" s="32">
        <f>C52-B52</f>
        <v>0.9963076465721592</v>
      </c>
      <c r="H61" s="17"/>
    </row>
    <row r="62" spans="1:8" x14ac:dyDescent="0.3">
      <c r="A62" s="17"/>
      <c r="B62" s="17"/>
      <c r="C62" s="17"/>
      <c r="D62" s="17"/>
      <c r="E62" s="17"/>
      <c r="F62" s="17"/>
      <c r="G62" s="17">
        <f>G60/G61</f>
        <v>0.90333543368505742</v>
      </c>
      <c r="H62" s="17"/>
    </row>
    <row r="63" spans="1:8" x14ac:dyDescent="0.3">
      <c r="A63" s="17"/>
      <c r="B63" s="17"/>
      <c r="C63" s="17"/>
      <c r="D63" s="17"/>
      <c r="E63" s="17"/>
      <c r="F63" s="17"/>
      <c r="G63" s="17" t="s">
        <v>120</v>
      </c>
      <c r="H63" s="1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Chapter 1</vt:lpstr>
      <vt:lpstr>Chapter 2</vt:lpstr>
      <vt:lpstr>Chapter 3</vt:lpstr>
      <vt:lpstr>Chapter 4</vt:lpstr>
      <vt:lpstr>Chapter 5</vt:lpstr>
      <vt:lpstr>Chapter6</vt:lpstr>
      <vt:lpstr>Chapter 7</vt:lpstr>
      <vt:lpstr>Chapter 8</vt:lpstr>
      <vt:lpstr>Chapter 9</vt:lpstr>
      <vt:lpstr>Chapter 14</vt:lpstr>
      <vt:lpstr>Chapter 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ITISYIJY</dc:creator>
  <cp:lastModifiedBy>ITISYIJY</cp:lastModifiedBy>
  <dcterms:created xsi:type="dcterms:W3CDTF">2022-04-09T01:34:11Z</dcterms:created>
  <dcterms:modified xsi:type="dcterms:W3CDTF">2022-05-26T14:59:25Z</dcterms:modified>
</cp:coreProperties>
</file>