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y020\내 드라이브\2022 1학기\Engineering Economy\W13\"/>
    </mc:Choice>
  </mc:AlternateContent>
  <xr:revisionPtr revIDLastSave="0" documentId="13_ncr:1_{34E995C2-4A63-4DE5-A100-252C42CF433F}" xr6:coauthVersionLast="47" xr6:coauthVersionMax="47" xr10:uidLastSave="{00000000-0000-0000-0000-000000000000}"/>
  <bookViews>
    <workbookView xWindow="1455" yWindow="465" windowWidth="13965" windowHeight="11235" tabRatio="609" firstSheet="3" activeTab="4" xr2:uid="{00000000-000D-0000-FFFF-FFFF00000000}"/>
  </bookViews>
  <sheets>
    <sheet name="EX_17_2" sheetId="5" r:id="rId1"/>
    <sheet name="EX17_10" sheetId="1" r:id="rId2"/>
    <sheet name="EVA Concept" sheetId="2" r:id="rId3"/>
    <sheet name="EVA Ex17_12&amp;Exercise17_66" sheetId="3" r:id="rId4"/>
    <sheet name="EVA Ex17_12 with infla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12" i="1"/>
  <c r="I18" i="1"/>
  <c r="E18" i="1"/>
  <c r="I9" i="1"/>
  <c r="J8" i="5"/>
  <c r="H9" i="5"/>
  <c r="G9" i="5"/>
  <c r="G8" i="5"/>
  <c r="E43" i="3" l="1"/>
  <c r="D43" i="3"/>
  <c r="C44" i="3"/>
  <c r="F43" i="3"/>
  <c r="E42" i="3"/>
  <c r="J42" i="3" s="1"/>
  <c r="E27" i="3"/>
  <c r="J27" i="3" s="1"/>
  <c r="F28" i="3"/>
  <c r="G28" i="3" s="1"/>
  <c r="J28" i="3" s="1"/>
  <c r="E28" i="3"/>
  <c r="D28" i="3"/>
  <c r="D29" i="3" s="1"/>
  <c r="C29" i="3"/>
  <c r="F29" i="3" l="1"/>
  <c r="D30" i="3"/>
  <c r="E29" i="3"/>
  <c r="C30" i="3"/>
  <c r="H28" i="3"/>
  <c r="I28" i="3" s="1"/>
  <c r="G43" i="3"/>
  <c r="J43" i="3" s="1"/>
  <c r="C45" i="3"/>
  <c r="D44" i="3"/>
  <c r="I4" i="5"/>
  <c r="F4" i="5"/>
  <c r="G4" i="5" s="1"/>
  <c r="H4" i="5" s="1"/>
  <c r="J4" i="5" s="1"/>
  <c r="F8" i="5"/>
  <c r="F7" i="5"/>
  <c r="F6" i="5"/>
  <c r="E3" i="5"/>
  <c r="E4" i="5"/>
  <c r="E5" i="5"/>
  <c r="G5" i="5" s="1"/>
  <c r="E6" i="5"/>
  <c r="E7" i="5"/>
  <c r="E8" i="5"/>
  <c r="E2" i="5"/>
  <c r="F5" i="5" s="1"/>
  <c r="H5" i="5" l="1"/>
  <c r="J5" i="5" s="1"/>
  <c r="G7" i="5"/>
  <c r="F30" i="3"/>
  <c r="C31" i="3"/>
  <c r="J2" i="5"/>
  <c r="E30" i="3"/>
  <c r="D31" i="3"/>
  <c r="G6" i="5"/>
  <c r="G29" i="3"/>
  <c r="J29" i="3" s="1"/>
  <c r="H29" i="3"/>
  <c r="I29" i="3" s="1"/>
  <c r="F3" i="5"/>
  <c r="F44" i="3"/>
  <c r="E44" i="3"/>
  <c r="G44" i="3"/>
  <c r="J44" i="3" s="1"/>
  <c r="D45" i="3"/>
  <c r="E45" i="3" s="1"/>
  <c r="C46" i="3"/>
  <c r="H43" i="3"/>
  <c r="I43" i="3" s="1"/>
  <c r="G15" i="4"/>
  <c r="L14" i="4"/>
  <c r="M14" i="4" s="1"/>
  <c r="F15" i="4"/>
  <c r="L1" i="4"/>
  <c r="G5" i="4"/>
  <c r="F6" i="4"/>
  <c r="G6" i="4" s="1"/>
  <c r="F7" i="4"/>
  <c r="F8" i="4"/>
  <c r="F5" i="4"/>
  <c r="C16" i="4"/>
  <c r="F16" i="4" s="1"/>
  <c r="D15" i="4"/>
  <c r="E14" i="4"/>
  <c r="D8" i="4"/>
  <c r="G8" i="4" s="1"/>
  <c r="D7" i="4"/>
  <c r="D6" i="4"/>
  <c r="D5" i="4"/>
  <c r="E5" i="4" s="1"/>
  <c r="E6" i="4" s="1"/>
  <c r="E7" i="4" s="1"/>
  <c r="E8" i="4" s="1"/>
  <c r="L4" i="4"/>
  <c r="M4" i="4" s="1"/>
  <c r="E4" i="4"/>
  <c r="J15" i="3"/>
  <c r="E15" i="3"/>
  <c r="E16" i="3" s="1"/>
  <c r="D16" i="3"/>
  <c r="D17" i="3" s="1"/>
  <c r="C17" i="3"/>
  <c r="C18" i="3" s="1"/>
  <c r="J5" i="3"/>
  <c r="E5" i="3"/>
  <c r="E6" i="3" s="1"/>
  <c r="E7" i="3" s="1"/>
  <c r="E8" i="3" s="1"/>
  <c r="E9" i="3" s="1"/>
  <c r="D7" i="3"/>
  <c r="F7" i="3" s="1"/>
  <c r="D8" i="3"/>
  <c r="F8" i="3" s="1"/>
  <c r="D9" i="3"/>
  <c r="F9" i="3" s="1"/>
  <c r="D6" i="3"/>
  <c r="F6" i="3" s="1"/>
  <c r="D4" i="2"/>
  <c r="E4" i="2"/>
  <c r="F4" i="2"/>
  <c r="G4" i="2"/>
  <c r="C4" i="2"/>
  <c r="B5" i="2"/>
  <c r="C6" i="2" s="1"/>
  <c r="H2" i="2"/>
  <c r="G15" i="1"/>
  <c r="H15" i="1" s="1"/>
  <c r="G16" i="1"/>
  <c r="H16" i="1" s="1"/>
  <c r="G17" i="1"/>
  <c r="H17" i="1" s="1"/>
  <c r="I17" i="1" s="1"/>
  <c r="H12" i="1"/>
  <c r="I12" i="1" s="1"/>
  <c r="F14" i="1"/>
  <c r="G14" i="1" s="1"/>
  <c r="H14" i="1" s="1"/>
  <c r="I14" i="1" s="1"/>
  <c r="F15" i="1"/>
  <c r="F16" i="1"/>
  <c r="F17" i="1"/>
  <c r="F13" i="1"/>
  <c r="G13" i="1" s="1"/>
  <c r="H13" i="1" s="1"/>
  <c r="E13" i="1"/>
  <c r="E14" i="1"/>
  <c r="E15" i="1"/>
  <c r="E16" i="1"/>
  <c r="I16" i="1" s="1"/>
  <c r="E17" i="1"/>
  <c r="E12" i="1"/>
  <c r="E9" i="1"/>
  <c r="E5" i="1"/>
  <c r="E6" i="1"/>
  <c r="E7" i="1"/>
  <c r="E8" i="1"/>
  <c r="E4" i="1"/>
  <c r="G8" i="1"/>
  <c r="H8" i="1" s="1"/>
  <c r="I8" i="1" s="1"/>
  <c r="G4" i="1"/>
  <c r="H4" i="1" s="1"/>
  <c r="I4" i="1" s="1"/>
  <c r="F5" i="1"/>
  <c r="G5" i="1" s="1"/>
  <c r="H5" i="1" s="1"/>
  <c r="I5" i="1" s="1"/>
  <c r="F6" i="1"/>
  <c r="G6" i="1" s="1"/>
  <c r="H6" i="1" s="1"/>
  <c r="I6" i="1" s="1"/>
  <c r="F7" i="1"/>
  <c r="G7" i="1" s="1"/>
  <c r="H7" i="1" s="1"/>
  <c r="I7" i="1" s="1"/>
  <c r="F8" i="1"/>
  <c r="F4" i="1"/>
  <c r="C5" i="2" l="1"/>
  <c r="D5" i="2" s="1"/>
  <c r="E5" i="2" s="1"/>
  <c r="F5" i="2" s="1"/>
  <c r="G5" i="2" s="1"/>
  <c r="G9" i="3"/>
  <c r="J9" i="3" s="1"/>
  <c r="H9" i="3"/>
  <c r="I9" i="3" s="1"/>
  <c r="G8" i="3"/>
  <c r="J8" i="3" s="1"/>
  <c r="H8" i="3"/>
  <c r="I8" i="3" s="1"/>
  <c r="H3" i="5"/>
  <c r="J3" i="5" s="1"/>
  <c r="I3" i="5"/>
  <c r="K3" i="5" s="1"/>
  <c r="E17" i="3"/>
  <c r="E18" i="3" s="1"/>
  <c r="E19" i="3" s="1"/>
  <c r="H7" i="3"/>
  <c r="I7" i="3" s="1"/>
  <c r="G7" i="3"/>
  <c r="J7" i="3" s="1"/>
  <c r="G6" i="3"/>
  <c r="J6" i="3" s="1"/>
  <c r="J10" i="3" s="1"/>
  <c r="J11" i="3" s="1"/>
  <c r="H6" i="3"/>
  <c r="I6" i="3" s="1"/>
  <c r="I15" i="1"/>
  <c r="L8" i="4"/>
  <c r="M8" i="4" s="1"/>
  <c r="F17" i="3"/>
  <c r="D18" i="3"/>
  <c r="D19" i="3" s="1"/>
  <c r="I13" i="1"/>
  <c r="C19" i="3"/>
  <c r="F19" i="3" s="1"/>
  <c r="F18" i="3"/>
  <c r="G7" i="4"/>
  <c r="H7" i="4" s="1"/>
  <c r="L7" i="4" s="1"/>
  <c r="M7" i="4" s="1"/>
  <c r="H6" i="5"/>
  <c r="J6" i="5" s="1"/>
  <c r="D32" i="3"/>
  <c r="E31" i="3"/>
  <c r="F16" i="3"/>
  <c r="I8" i="5"/>
  <c r="K8" i="5" s="1"/>
  <c r="H8" i="5"/>
  <c r="H7" i="5"/>
  <c r="J7" i="5" s="1"/>
  <c r="C32" i="3"/>
  <c r="F31" i="3"/>
  <c r="I9" i="5"/>
  <c r="J9" i="5"/>
  <c r="G30" i="3"/>
  <c r="J30" i="3" s="1"/>
  <c r="I5" i="5"/>
  <c r="K5" i="5" s="1"/>
  <c r="D46" i="3"/>
  <c r="E46" i="3" s="1"/>
  <c r="C47" i="3"/>
  <c r="F45" i="3"/>
  <c r="H44" i="3"/>
  <c r="I44" i="3" s="1"/>
  <c r="H8" i="4"/>
  <c r="H15" i="4"/>
  <c r="L15" i="4" s="1"/>
  <c r="M15" i="4" s="1"/>
  <c r="H6" i="4"/>
  <c r="L6" i="4" s="1"/>
  <c r="M6" i="4" s="1"/>
  <c r="D16" i="4"/>
  <c r="D17" i="4" s="1"/>
  <c r="D18" i="4" s="1"/>
  <c r="H5" i="4"/>
  <c r="L5" i="4" s="1"/>
  <c r="E15" i="4"/>
  <c r="C17" i="4"/>
  <c r="F17" i="4" s="1"/>
  <c r="G17" i="4" s="1"/>
  <c r="I4" i="2"/>
  <c r="H4" i="2" s="1"/>
  <c r="D6" i="2"/>
  <c r="F6" i="2"/>
  <c r="E6" i="2"/>
  <c r="M5" i="4" l="1"/>
  <c r="M9" i="4" s="1"/>
  <c r="M10" i="4" s="1"/>
  <c r="L9" i="4"/>
  <c r="L10" i="4" s="1"/>
  <c r="G16" i="3"/>
  <c r="H16" i="3" s="1"/>
  <c r="C33" i="3"/>
  <c r="F32" i="3"/>
  <c r="D33" i="3"/>
  <c r="E32" i="3"/>
  <c r="I10" i="3"/>
  <c r="I11" i="3" s="1"/>
  <c r="G31" i="3"/>
  <c r="J31" i="3" s="1"/>
  <c r="G19" i="3"/>
  <c r="H19" i="3" s="1"/>
  <c r="H30" i="3"/>
  <c r="I30" i="3" s="1"/>
  <c r="I7" i="5"/>
  <c r="K7" i="5" s="1"/>
  <c r="I6" i="5"/>
  <c r="K6" i="5" s="1"/>
  <c r="G16" i="4"/>
  <c r="G17" i="3"/>
  <c r="H17" i="3" s="1"/>
  <c r="F46" i="3"/>
  <c r="G18" i="3"/>
  <c r="H18" i="3" s="1"/>
  <c r="G45" i="3"/>
  <c r="J45" i="3" s="1"/>
  <c r="G46" i="3"/>
  <c r="J46" i="3" s="1"/>
  <c r="D47" i="3"/>
  <c r="C48" i="3"/>
  <c r="I15" i="4"/>
  <c r="J15" i="4" s="1"/>
  <c r="E16" i="4"/>
  <c r="E17" i="4" s="1"/>
  <c r="E18" i="4" s="1"/>
  <c r="C18" i="4"/>
  <c r="F18" i="4" s="1"/>
  <c r="G18" i="4" s="1"/>
  <c r="I7" i="4"/>
  <c r="J7" i="4" s="1"/>
  <c r="K7" i="4" s="1"/>
  <c r="I6" i="4"/>
  <c r="J6" i="4" s="1"/>
  <c r="K6" i="4" s="1"/>
  <c r="I8" i="4"/>
  <c r="J8" i="4" s="1"/>
  <c r="K8" i="4" s="1"/>
  <c r="I5" i="4"/>
  <c r="J5" i="4" s="1"/>
  <c r="G6" i="2"/>
  <c r="I6" i="2" s="1"/>
  <c r="H6" i="2" s="1"/>
  <c r="I17" i="3" l="1"/>
  <c r="J17" i="3"/>
  <c r="I16" i="3"/>
  <c r="J16" i="3"/>
  <c r="J19" i="3"/>
  <c r="I19" i="3"/>
  <c r="I18" i="3"/>
  <c r="J18" i="3"/>
  <c r="G32" i="3"/>
  <c r="J32" i="3" s="1"/>
  <c r="H32" i="3"/>
  <c r="I32" i="3" s="1"/>
  <c r="C34" i="3"/>
  <c r="F33" i="3"/>
  <c r="D34" i="3"/>
  <c r="E33" i="3"/>
  <c r="H31" i="3"/>
  <c r="I31" i="3" s="1"/>
  <c r="K5" i="4"/>
  <c r="K9" i="4" s="1"/>
  <c r="K10" i="4" s="1"/>
  <c r="J9" i="4"/>
  <c r="J10" i="4" s="1"/>
  <c r="F47" i="3"/>
  <c r="E47" i="3"/>
  <c r="G47" i="3"/>
  <c r="J47" i="3" s="1"/>
  <c r="H46" i="3"/>
  <c r="I46" i="3" s="1"/>
  <c r="C49" i="3"/>
  <c r="H45" i="3"/>
  <c r="I45" i="3" s="1"/>
  <c r="K15" i="4"/>
  <c r="H16" i="4"/>
  <c r="H18" i="4"/>
  <c r="H17" i="4"/>
  <c r="H33" i="3" l="1"/>
  <c r="I33" i="3" s="1"/>
  <c r="G33" i="3"/>
  <c r="J33" i="3" s="1"/>
  <c r="D35" i="3"/>
  <c r="E35" i="3" s="1"/>
  <c r="E34" i="3"/>
  <c r="C35" i="3"/>
  <c r="F34" i="3"/>
  <c r="J20" i="3"/>
  <c r="J21" i="3" s="1"/>
  <c r="I20" i="3"/>
  <c r="I21" i="3" s="1"/>
  <c r="F49" i="3"/>
  <c r="C50" i="3"/>
  <c r="F48" i="3"/>
  <c r="H47" i="3"/>
  <c r="I47" i="3" s="1"/>
  <c r="L18" i="4"/>
  <c r="M18" i="4" s="1"/>
  <c r="I18" i="4"/>
  <c r="J18" i="4" s="1"/>
  <c r="K18" i="4" s="1"/>
  <c r="L16" i="4"/>
  <c r="I16" i="4"/>
  <c r="J16" i="4" s="1"/>
  <c r="I17" i="4"/>
  <c r="J17" i="4" s="1"/>
  <c r="K17" i="4" s="1"/>
  <c r="L17" i="4"/>
  <c r="M17" i="4" s="1"/>
  <c r="G34" i="3" l="1"/>
  <c r="J34" i="3" s="1"/>
  <c r="F35" i="3"/>
  <c r="G49" i="3"/>
  <c r="J49" i="3" s="1"/>
  <c r="G48" i="3"/>
  <c r="J48" i="3" s="1"/>
  <c r="K16" i="4"/>
  <c r="K19" i="4" s="1"/>
  <c r="K20" i="4" s="1"/>
  <c r="J19" i="4"/>
  <c r="J20" i="4" s="1"/>
  <c r="M16" i="4"/>
  <c r="M19" i="4" s="1"/>
  <c r="M20" i="4" s="1"/>
  <c r="L19" i="4"/>
  <c r="L20" i="4" s="1"/>
  <c r="G35" i="3" l="1"/>
  <c r="J35" i="3" s="1"/>
  <c r="J36" i="3" s="1"/>
  <c r="J37" i="3" s="1"/>
  <c r="H34" i="3"/>
  <c r="I34" i="3" s="1"/>
  <c r="H48" i="3"/>
  <c r="I48" i="3" s="1"/>
  <c r="F50" i="3"/>
  <c r="H49" i="3"/>
  <c r="I49" i="3" s="1"/>
  <c r="H35" i="3" l="1"/>
  <c r="I35" i="3" s="1"/>
  <c r="I36" i="3" s="1"/>
  <c r="I37" i="3" s="1"/>
  <c r="G50" i="3"/>
  <c r="J50" i="3" s="1"/>
  <c r="J51" i="3" s="1"/>
  <c r="J52" i="3" s="1"/>
  <c r="H50" i="3" l="1"/>
  <c r="I50" i="3" s="1"/>
  <c r="I51" i="3" s="1"/>
  <c r="I52" i="3" s="1"/>
</calcChain>
</file>

<file path=xl/sharedStrings.xml><?xml version="1.0" encoding="utf-8"?>
<sst xmlns="http://schemas.openxmlformats.org/spreadsheetml/2006/main" count="130" uniqueCount="61">
  <si>
    <t>Defender
Age</t>
    <phoneticPr fontId="2" type="noConversion"/>
  </si>
  <si>
    <t>Year</t>
    <phoneticPr fontId="2" type="noConversion"/>
  </si>
  <si>
    <t>OE</t>
    <phoneticPr fontId="2" type="noConversion"/>
  </si>
  <si>
    <t>P or S</t>
    <phoneticPr fontId="2" type="noConversion"/>
  </si>
  <si>
    <t>CFBT</t>
    <phoneticPr fontId="2" type="noConversion"/>
  </si>
  <si>
    <t>Depre.C.</t>
    <phoneticPr fontId="2" type="noConversion"/>
  </si>
  <si>
    <t>TI</t>
    <phoneticPr fontId="2" type="noConversion"/>
  </si>
  <si>
    <t>Tax</t>
    <phoneticPr fontId="2" type="noConversion"/>
  </si>
  <si>
    <t>CFAT</t>
    <phoneticPr fontId="2" type="noConversion"/>
  </si>
  <si>
    <t>Defender</t>
    <phoneticPr fontId="2" type="noConversion"/>
  </si>
  <si>
    <t>AW at 10%</t>
    <phoneticPr fontId="2" type="noConversion"/>
  </si>
  <si>
    <t>AW at 7%</t>
    <phoneticPr fontId="2" type="noConversion"/>
  </si>
  <si>
    <t>Challenger</t>
    <phoneticPr fontId="2" type="noConversion"/>
  </si>
  <si>
    <t>Year</t>
    <phoneticPr fontId="2" type="noConversion"/>
  </si>
  <si>
    <t>NOPAT</t>
    <phoneticPr fontId="2" type="noConversion"/>
  </si>
  <si>
    <t>Actual
Cash Flow</t>
    <phoneticPr fontId="2" type="noConversion"/>
  </si>
  <si>
    <t>AW</t>
    <phoneticPr fontId="2" type="noConversion"/>
  </si>
  <si>
    <t>EVA</t>
    <phoneticPr fontId="2" type="noConversion"/>
  </si>
  <si>
    <t>BV</t>
    <phoneticPr fontId="2" type="noConversion"/>
  </si>
  <si>
    <t>Depre. C.</t>
    <phoneticPr fontId="2" type="noConversion"/>
  </si>
  <si>
    <t>PLAN A</t>
    <phoneticPr fontId="2" type="noConversion"/>
  </si>
  <si>
    <t>Year</t>
    <phoneticPr fontId="2" type="noConversion"/>
  </si>
  <si>
    <t>P or S</t>
    <phoneticPr fontId="2" type="noConversion"/>
  </si>
  <si>
    <t>GI-OE</t>
    <phoneticPr fontId="2" type="noConversion"/>
  </si>
  <si>
    <t>Depre.C.</t>
    <phoneticPr fontId="2" type="noConversion"/>
  </si>
  <si>
    <t>BV</t>
    <phoneticPr fontId="2" type="noConversion"/>
  </si>
  <si>
    <t>TI</t>
    <phoneticPr fontId="2" type="noConversion"/>
  </si>
  <si>
    <t>Tax</t>
    <phoneticPr fontId="2" type="noConversion"/>
  </si>
  <si>
    <t>NOPAT</t>
    <phoneticPr fontId="2" type="noConversion"/>
  </si>
  <si>
    <t>EVA</t>
    <phoneticPr fontId="2" type="noConversion"/>
  </si>
  <si>
    <t>tax=</t>
    <phoneticPr fontId="2" type="noConversion"/>
  </si>
  <si>
    <t>AF_Marr=</t>
    <phoneticPr fontId="2" type="noConversion"/>
  </si>
  <si>
    <t>f=</t>
    <phoneticPr fontId="2" type="noConversion"/>
  </si>
  <si>
    <t>PW</t>
    <phoneticPr fontId="2" type="noConversion"/>
  </si>
  <si>
    <t>AW</t>
    <phoneticPr fontId="2" type="noConversion"/>
  </si>
  <si>
    <t>PLAN B</t>
    <phoneticPr fontId="2" type="noConversion"/>
  </si>
  <si>
    <t>GI-OE(C$)</t>
    <phoneticPr fontId="2" type="noConversion"/>
  </si>
  <si>
    <t>GI-OE(A$)</t>
    <phoneticPr fontId="2" type="noConversion"/>
  </si>
  <si>
    <t>NOPAT(A$)</t>
    <phoneticPr fontId="2" type="noConversion"/>
  </si>
  <si>
    <t>CFAT(A$)</t>
    <phoneticPr fontId="2" type="noConversion"/>
  </si>
  <si>
    <t>CFAT(C$)</t>
    <phoneticPr fontId="2" type="noConversion"/>
  </si>
  <si>
    <t>EVA(A$)</t>
    <phoneticPr fontId="2" type="noConversion"/>
  </si>
  <si>
    <t>EVA(C$)</t>
    <phoneticPr fontId="2" type="noConversion"/>
  </si>
  <si>
    <t>ip=</t>
    <phoneticPr fontId="2" type="noConversion"/>
  </si>
  <si>
    <t>GI</t>
    <phoneticPr fontId="2" type="noConversion"/>
  </si>
  <si>
    <t>OE</t>
    <phoneticPr fontId="2" type="noConversion"/>
  </si>
  <si>
    <t>P &amp; S</t>
    <phoneticPr fontId="2" type="noConversion"/>
  </si>
  <si>
    <t>D</t>
    <phoneticPr fontId="2" type="noConversion"/>
  </si>
  <si>
    <t>TI</t>
    <phoneticPr fontId="2" type="noConversion"/>
  </si>
  <si>
    <t>Tax</t>
    <phoneticPr fontId="2" type="noConversion"/>
  </si>
  <si>
    <t>CFAT</t>
    <phoneticPr fontId="2" type="noConversion"/>
  </si>
  <si>
    <t>NOPAT</t>
    <phoneticPr fontId="2" type="noConversion"/>
  </si>
  <si>
    <t>NOPAT+D</t>
    <phoneticPr fontId="2" type="noConversion"/>
  </si>
  <si>
    <t>PW</t>
    <phoneticPr fontId="2" type="noConversion"/>
  </si>
  <si>
    <t>Ex. 17-12</t>
    <phoneticPr fontId="2" type="noConversion"/>
  </si>
  <si>
    <t>HW 17.66</t>
    <phoneticPr fontId="2" type="noConversion"/>
  </si>
  <si>
    <t>tax</t>
    <phoneticPr fontId="2" type="noConversion"/>
  </si>
  <si>
    <t>HongKong</t>
    <phoneticPr fontId="2" type="noConversion"/>
  </si>
  <si>
    <t>Vietnam</t>
    <phoneticPr fontId="2" type="noConversion"/>
  </si>
  <si>
    <t>If no salvage value in year 6…</t>
    <phoneticPr fontId="2" type="noConversion"/>
  </si>
  <si>
    <t>revised 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</si>
</sst>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₩&quot;#,##0;[Red]\-&quot;₩&quot;#,##0"/>
    <numFmt numFmtId="41" formatCode="_-* #,##0_-;\-* #,##0_-;_-* &quot;-&quot;_-;_-@_-"/>
    <numFmt numFmtId="176" formatCode="0.0"/>
    <numFmt numFmtId="177" formatCode="0.0_ "/>
    <numFmt numFmtId="178" formatCode="#,##0.00_ ;[Red]\-#,##0.00\ "/>
    <numFmt numFmtId="179" formatCode="0.00_ "/>
    <numFmt numFmtId="180" formatCode="#,##0_ ;[Red]\-#,##0\ 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9" fontId="0" fillId="0" borderId="0" xfId="0" applyNumberForma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0" fillId="2" borderId="11" xfId="0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1" fontId="0" fillId="2" borderId="0" xfId="1" applyFont="1" applyFill="1" applyBorder="1">
      <alignment vertical="center"/>
    </xf>
    <xf numFmtId="6" fontId="0" fillId="2" borderId="0" xfId="0" applyNumberFormat="1" applyFill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6" fontId="0" fillId="2" borderId="4" xfId="0" applyNumberFormat="1" applyFill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180" fontId="0" fillId="2" borderId="0" xfId="0" applyNumberFormat="1" applyFill="1" applyBorder="1">
      <alignment vertical="center"/>
    </xf>
    <xf numFmtId="41" fontId="0" fillId="2" borderId="4" xfId="1" applyFont="1" applyFill="1" applyBorder="1">
      <alignment vertical="center"/>
    </xf>
    <xf numFmtId="180" fontId="0" fillId="2" borderId="4" xfId="0" applyNumberFormat="1" applyFill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76" fontId="0" fillId="2" borderId="0" xfId="0" applyNumberFormat="1" applyFill="1" applyBorder="1">
      <alignment vertical="center"/>
    </xf>
    <xf numFmtId="2" fontId="0" fillId="2" borderId="0" xfId="0" applyNumberForma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13" xfId="0" applyFill="1" applyBorder="1" applyAlignment="1">
      <alignment horizontal="center" vertical="center" wrapText="1"/>
    </xf>
    <xf numFmtId="178" fontId="0" fillId="2" borderId="0" xfId="0" applyNumberFormat="1" applyFill="1" applyBorder="1">
      <alignment vertical="center"/>
    </xf>
    <xf numFmtId="179" fontId="0" fillId="2" borderId="3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2" fontId="0" fillId="2" borderId="4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8" fontId="0" fillId="2" borderId="5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41" fontId="0" fillId="2" borderId="1" xfId="1" applyFont="1" applyFill="1" applyBorder="1">
      <alignment vertical="center"/>
    </xf>
    <xf numFmtId="0" fontId="0" fillId="2" borderId="1" xfId="0" applyFill="1" applyBorder="1">
      <alignment vertical="center"/>
    </xf>
    <xf numFmtId="41" fontId="0" fillId="2" borderId="1" xfId="0" applyNumberFormat="1" applyFill="1" applyBorder="1">
      <alignment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41" fontId="0" fillId="2" borderId="16" xfId="1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41" fontId="0" fillId="2" borderId="0" xfId="0" applyNumberForma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1" fontId="0" fillId="2" borderId="6" xfId="1" applyFont="1" applyFill="1" applyBorder="1">
      <alignment vertical="center"/>
    </xf>
    <xf numFmtId="41" fontId="0" fillId="2" borderId="3" xfId="0" applyNumberFormat="1" applyFill="1" applyBorder="1">
      <alignment vertical="center"/>
    </xf>
    <xf numFmtId="41" fontId="5" fillId="2" borderId="0" xfId="1" applyFont="1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41" fontId="0" fillId="2" borderId="7" xfId="1" applyFont="1" applyFill="1" applyBorder="1">
      <alignment vertical="center"/>
    </xf>
    <xf numFmtId="41" fontId="4" fillId="2" borderId="4" xfId="1" applyFont="1" applyFill="1" applyBorder="1">
      <alignment vertical="center"/>
    </xf>
    <xf numFmtId="41" fontId="4" fillId="2" borderId="7" xfId="1" applyFont="1" applyFill="1" applyBorder="1">
      <alignment vertical="center"/>
    </xf>
    <xf numFmtId="41" fontId="0" fillId="2" borderId="5" xfId="0" applyNumberFormat="1" applyFill="1" applyBorder="1">
      <alignment vertical="center"/>
    </xf>
    <xf numFmtId="0" fontId="0" fillId="2" borderId="13" xfId="0" applyFill="1" applyBorder="1">
      <alignment vertical="center"/>
    </xf>
    <xf numFmtId="41" fontId="6" fillId="2" borderId="0" xfId="1" applyFont="1" applyFill="1" applyBorder="1">
      <alignment vertical="center"/>
    </xf>
    <xf numFmtId="0" fontId="0" fillId="2" borderId="14" xfId="0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D17" sqref="D17"/>
    </sheetView>
  </sheetViews>
  <sheetFormatPr defaultRowHeight="16.5"/>
  <cols>
    <col min="2" max="2" width="9.375" bestFit="1" customWidth="1"/>
    <col min="4" max="7" width="9.375" bestFit="1" customWidth="1"/>
    <col min="9" max="10" width="9.375" bestFit="1" customWidth="1"/>
    <col min="11" max="11" width="10.375" bestFit="1" customWidth="1"/>
  </cols>
  <sheetData>
    <row r="1" spans="1:11" s="1" customFormat="1" ht="17.25" thickBot="1">
      <c r="A1" s="45" t="s">
        <v>1</v>
      </c>
      <c r="B1" s="46" t="s">
        <v>44</v>
      </c>
      <c r="C1" s="46" t="s">
        <v>45</v>
      </c>
      <c r="D1" s="46" t="s">
        <v>46</v>
      </c>
      <c r="E1" s="45" t="s">
        <v>4</v>
      </c>
      <c r="F1" s="46" t="s">
        <v>47</v>
      </c>
      <c r="G1" s="46" t="s">
        <v>48</v>
      </c>
      <c r="H1" s="46" t="s">
        <v>49</v>
      </c>
      <c r="I1" s="46" t="s">
        <v>51</v>
      </c>
      <c r="J1" s="45" t="s">
        <v>50</v>
      </c>
      <c r="K1" s="47" t="s">
        <v>52</v>
      </c>
    </row>
    <row r="2" spans="1:11">
      <c r="A2" s="48">
        <v>0</v>
      </c>
      <c r="B2" s="12"/>
      <c r="C2" s="12"/>
      <c r="D2" s="12">
        <v>-550000</v>
      </c>
      <c r="E2" s="49">
        <f>B2-C2+D2</f>
        <v>-550000</v>
      </c>
      <c r="F2" s="12"/>
      <c r="G2" s="12"/>
      <c r="H2" s="12"/>
      <c r="I2" s="12"/>
      <c r="J2" s="49">
        <f>E2-H2</f>
        <v>-550000</v>
      </c>
      <c r="K2" s="26"/>
    </row>
    <row r="3" spans="1:11">
      <c r="A3" s="48">
        <v>1</v>
      </c>
      <c r="B3" s="12">
        <v>200000</v>
      </c>
      <c r="C3" s="12">
        <v>90000</v>
      </c>
      <c r="D3" s="12"/>
      <c r="E3" s="49">
        <f t="shared" ref="E3:E8" si="0">B3-C3+D3</f>
        <v>110000</v>
      </c>
      <c r="F3" s="12">
        <f>-$E$2*0.2</f>
        <v>110000</v>
      </c>
      <c r="G3" s="12">
        <f>E3-F3</f>
        <v>0</v>
      </c>
      <c r="H3" s="12">
        <f>G3*0.35</f>
        <v>0</v>
      </c>
      <c r="I3" s="12">
        <f>G3-H3</f>
        <v>0</v>
      </c>
      <c r="J3" s="49">
        <f t="shared" ref="J3:J7" si="1">E3-H3</f>
        <v>110000</v>
      </c>
      <c r="K3" s="50">
        <f t="shared" ref="K3" si="2">I3+F3</f>
        <v>110000</v>
      </c>
    </row>
    <row r="4" spans="1:11">
      <c r="A4" s="48">
        <v>2</v>
      </c>
      <c r="B4" s="12">
        <v>200000</v>
      </c>
      <c r="C4" s="12">
        <v>90000</v>
      </c>
      <c r="D4" s="12"/>
      <c r="E4" s="49">
        <f t="shared" si="0"/>
        <v>110000</v>
      </c>
      <c r="F4" s="12">
        <f>-$E$2*0.32</f>
        <v>176000</v>
      </c>
      <c r="G4" s="51">
        <f t="shared" ref="G4:G6" si="3">E4-F4</f>
        <v>-66000</v>
      </c>
      <c r="H4" s="51">
        <f t="shared" ref="H4:H8" si="4">G4*0.35</f>
        <v>-23100</v>
      </c>
      <c r="I4" s="51">
        <f>G4</f>
        <v>-66000</v>
      </c>
      <c r="J4" s="49">
        <f t="shared" si="1"/>
        <v>133100</v>
      </c>
      <c r="K4" s="50"/>
    </row>
    <row r="5" spans="1:11">
      <c r="A5" s="48">
        <v>3</v>
      </c>
      <c r="B5" s="12">
        <v>200000</v>
      </c>
      <c r="C5" s="12">
        <v>90000</v>
      </c>
      <c r="D5" s="12"/>
      <c r="E5" s="49">
        <f t="shared" si="0"/>
        <v>110000</v>
      </c>
      <c r="F5" s="12">
        <f>-$E$2*0.192</f>
        <v>105600</v>
      </c>
      <c r="G5" s="12">
        <f t="shared" si="3"/>
        <v>4400</v>
      </c>
      <c r="H5" s="12">
        <f t="shared" si="4"/>
        <v>1540</v>
      </c>
      <c r="I5" s="12">
        <f t="shared" ref="I5:I9" si="5">G5-H5</f>
        <v>2860</v>
      </c>
      <c r="J5" s="49">
        <f t="shared" si="1"/>
        <v>108460</v>
      </c>
      <c r="K5" s="50">
        <f>I5+F5</f>
        <v>108460</v>
      </c>
    </row>
    <row r="6" spans="1:11">
      <c r="A6" s="48">
        <v>4</v>
      </c>
      <c r="B6" s="12">
        <v>200000</v>
      </c>
      <c r="C6" s="12">
        <v>90000</v>
      </c>
      <c r="D6" s="12"/>
      <c r="E6" s="49">
        <f t="shared" si="0"/>
        <v>110000</v>
      </c>
      <c r="F6" s="12">
        <f>-$E$2*0.1152</f>
        <v>63360</v>
      </c>
      <c r="G6" s="12">
        <f t="shared" si="3"/>
        <v>46640</v>
      </c>
      <c r="H6" s="12">
        <f t="shared" si="4"/>
        <v>16323.999999999998</v>
      </c>
      <c r="I6" s="12">
        <f t="shared" si="5"/>
        <v>30316</v>
      </c>
      <c r="J6" s="49">
        <f t="shared" si="1"/>
        <v>93676</v>
      </c>
      <c r="K6" s="50">
        <f t="shared" ref="K6:K8" si="6">I6+F6</f>
        <v>93676</v>
      </c>
    </row>
    <row r="7" spans="1:11">
      <c r="A7" s="48">
        <v>5</v>
      </c>
      <c r="B7" s="12">
        <v>200000</v>
      </c>
      <c r="C7" s="12">
        <v>90000</v>
      </c>
      <c r="D7" s="12"/>
      <c r="E7" s="49">
        <f t="shared" si="0"/>
        <v>110000</v>
      </c>
      <c r="F7" s="12">
        <f>-$E$2*0.1152</f>
        <v>63360</v>
      </c>
      <c r="G7" s="12">
        <f>E7-F7</f>
        <v>46640</v>
      </c>
      <c r="H7" s="12">
        <f t="shared" si="4"/>
        <v>16323.999999999998</v>
      </c>
      <c r="I7" s="12">
        <f t="shared" si="5"/>
        <v>30316</v>
      </c>
      <c r="J7" s="49">
        <f t="shared" si="1"/>
        <v>93676</v>
      </c>
      <c r="K7" s="50">
        <f t="shared" si="6"/>
        <v>93676</v>
      </c>
    </row>
    <row r="8" spans="1:11" ht="17.25" thickBot="1">
      <c r="A8" s="52">
        <v>6</v>
      </c>
      <c r="B8" s="20">
        <v>200000</v>
      </c>
      <c r="C8" s="20">
        <v>90000</v>
      </c>
      <c r="D8" s="20">
        <v>150000</v>
      </c>
      <c r="E8" s="53">
        <f t="shared" si="0"/>
        <v>260000</v>
      </c>
      <c r="F8" s="20">
        <f>-$E$2*0.0576</f>
        <v>31680</v>
      </c>
      <c r="G8" s="54">
        <f>E8-F8</f>
        <v>228320</v>
      </c>
      <c r="H8" s="54">
        <f t="shared" si="4"/>
        <v>79912</v>
      </c>
      <c r="I8" s="54">
        <f t="shared" si="5"/>
        <v>148408</v>
      </c>
      <c r="J8" s="55">
        <f>E8-H8</f>
        <v>180088</v>
      </c>
      <c r="K8" s="56">
        <f t="shared" si="6"/>
        <v>180088</v>
      </c>
    </row>
    <row r="9" spans="1:11">
      <c r="A9" s="57"/>
      <c r="B9" s="8"/>
      <c r="C9" s="8"/>
      <c r="D9" s="8"/>
      <c r="E9" s="8"/>
      <c r="F9" s="8" t="s">
        <v>60</v>
      </c>
      <c r="G9" s="42">
        <f>E7-F8</f>
        <v>78320</v>
      </c>
      <c r="H9" s="12">
        <f>G9*0.35</f>
        <v>27412</v>
      </c>
      <c r="I9" s="12">
        <f t="shared" si="5"/>
        <v>50908</v>
      </c>
      <c r="J9" s="58">
        <f>E8-H9</f>
        <v>232588</v>
      </c>
      <c r="K9" s="26"/>
    </row>
    <row r="10" spans="1:11" ht="17.25" thickBot="1">
      <c r="A10" s="59"/>
      <c r="B10" s="16"/>
      <c r="C10" s="16"/>
      <c r="D10" s="16"/>
      <c r="E10" s="16"/>
      <c r="F10" s="16"/>
      <c r="G10" s="16" t="s">
        <v>59</v>
      </c>
      <c r="H10" s="16"/>
      <c r="I10" s="16"/>
      <c r="J10" s="16"/>
      <c r="K10" s="44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>
      <selection activeCell="B6" sqref="B6"/>
    </sheetView>
  </sheetViews>
  <sheetFormatPr defaultRowHeight="16.5"/>
  <cols>
    <col min="1" max="1" width="11.125" style="1" bestFit="1" customWidth="1"/>
    <col min="2" max="2" width="5.125" style="1" bestFit="1" customWidth="1"/>
    <col min="3" max="5" width="9.375" style="2" bestFit="1" customWidth="1"/>
    <col min="6" max="6" width="10.125" style="2" bestFit="1" customWidth="1"/>
    <col min="7" max="7" width="9.375" style="2" bestFit="1" customWidth="1"/>
    <col min="8" max="8" width="8.375" style="2" bestFit="1" customWidth="1"/>
    <col min="9" max="9" width="9.375" bestFit="1" customWidth="1"/>
    <col min="10" max="10" width="10" bestFit="1" customWidth="1"/>
  </cols>
  <sheetData>
    <row r="1" spans="1:10" s="1" customFormat="1" ht="33">
      <c r="A1" s="38" t="s">
        <v>0</v>
      </c>
      <c r="B1" s="39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39" t="s">
        <v>8</v>
      </c>
      <c r="J1" s="6"/>
    </row>
    <row r="2" spans="1:10">
      <c r="A2" s="7" t="s">
        <v>9</v>
      </c>
      <c r="B2" s="11"/>
      <c r="C2" s="12"/>
      <c r="D2" s="12"/>
      <c r="E2" s="12"/>
      <c r="F2" s="12"/>
      <c r="G2" s="12"/>
      <c r="H2" s="12"/>
      <c r="I2" s="8"/>
      <c r="J2" s="26"/>
    </row>
    <row r="3" spans="1:10">
      <c r="A3" s="41">
        <v>3</v>
      </c>
      <c r="B3" s="34">
        <v>0</v>
      </c>
      <c r="C3" s="35"/>
      <c r="D3" s="35"/>
      <c r="E3" s="35"/>
      <c r="F3" s="35"/>
      <c r="G3" s="35"/>
      <c r="H3" s="35"/>
      <c r="I3" s="36"/>
      <c r="J3" s="26"/>
    </row>
    <row r="4" spans="1:10">
      <c r="A4" s="41">
        <v>4</v>
      </c>
      <c r="B4" s="34">
        <v>1</v>
      </c>
      <c r="C4" s="35">
        <v>-100000</v>
      </c>
      <c r="D4" s="35"/>
      <c r="E4" s="35">
        <f>C4</f>
        <v>-100000</v>
      </c>
      <c r="F4" s="35">
        <f>600000/8</f>
        <v>75000</v>
      </c>
      <c r="G4" s="35">
        <f>C4-F4</f>
        <v>-175000</v>
      </c>
      <c r="H4" s="35">
        <f>G4*0.34</f>
        <v>-59500.000000000007</v>
      </c>
      <c r="I4" s="37">
        <f>C4-H4</f>
        <v>-40499.999999999993</v>
      </c>
      <c r="J4" s="26"/>
    </row>
    <row r="5" spans="1:10">
      <c r="A5" s="41">
        <v>5</v>
      </c>
      <c r="B5" s="34">
        <v>2</v>
      </c>
      <c r="C5" s="35">
        <v>-100000</v>
      </c>
      <c r="D5" s="35"/>
      <c r="E5" s="35">
        <f t="shared" ref="E5:E8" si="0">C5</f>
        <v>-100000</v>
      </c>
      <c r="F5" s="35">
        <f t="shared" ref="F5:F8" si="1">600000/8</f>
        <v>75000</v>
      </c>
      <c r="G5" s="35">
        <f t="shared" ref="G5:G8" si="2">C5-F5</f>
        <v>-175000</v>
      </c>
      <c r="H5" s="35">
        <f t="shared" ref="H5:H8" si="3">G5*0.34</f>
        <v>-59500.000000000007</v>
      </c>
      <c r="I5" s="37">
        <f t="shared" ref="I5:I8" si="4">C5-H5</f>
        <v>-40499.999999999993</v>
      </c>
      <c r="J5" s="26"/>
    </row>
    <row r="6" spans="1:10">
      <c r="A6" s="41">
        <v>6</v>
      </c>
      <c r="B6" s="34">
        <v>3</v>
      </c>
      <c r="C6" s="35">
        <v>-100000</v>
      </c>
      <c r="D6" s="35"/>
      <c r="E6" s="35">
        <f t="shared" si="0"/>
        <v>-100000</v>
      </c>
      <c r="F6" s="35">
        <f t="shared" si="1"/>
        <v>75000</v>
      </c>
      <c r="G6" s="35">
        <f t="shared" si="2"/>
        <v>-175000</v>
      </c>
      <c r="H6" s="35">
        <f t="shared" si="3"/>
        <v>-59500.000000000007</v>
      </c>
      <c r="I6" s="37">
        <f t="shared" si="4"/>
        <v>-40499.999999999993</v>
      </c>
      <c r="J6" s="26"/>
    </row>
    <row r="7" spans="1:10">
      <c r="A7" s="41">
        <v>7</v>
      </c>
      <c r="B7" s="34">
        <v>4</v>
      </c>
      <c r="C7" s="35">
        <v>-100000</v>
      </c>
      <c r="D7" s="35"/>
      <c r="E7" s="35">
        <f t="shared" si="0"/>
        <v>-100000</v>
      </c>
      <c r="F7" s="35">
        <f t="shared" si="1"/>
        <v>75000</v>
      </c>
      <c r="G7" s="35">
        <f t="shared" si="2"/>
        <v>-175000</v>
      </c>
      <c r="H7" s="35">
        <f t="shared" si="3"/>
        <v>-59500.000000000007</v>
      </c>
      <c r="I7" s="37">
        <f t="shared" si="4"/>
        <v>-40499.999999999993</v>
      </c>
      <c r="J7" s="26"/>
    </row>
    <row r="8" spans="1:10">
      <c r="A8" s="41">
        <v>8</v>
      </c>
      <c r="B8" s="34">
        <v>5</v>
      </c>
      <c r="C8" s="35">
        <v>-100000</v>
      </c>
      <c r="D8" s="35"/>
      <c r="E8" s="35">
        <f t="shared" si="0"/>
        <v>-100000</v>
      </c>
      <c r="F8" s="35">
        <f t="shared" si="1"/>
        <v>75000</v>
      </c>
      <c r="G8" s="35">
        <f t="shared" si="2"/>
        <v>-175000</v>
      </c>
      <c r="H8" s="35">
        <f t="shared" si="3"/>
        <v>-59500.000000000007</v>
      </c>
      <c r="I8" s="37">
        <f t="shared" si="4"/>
        <v>-40499.999999999993</v>
      </c>
      <c r="J8" s="26"/>
    </row>
    <row r="9" spans="1:10">
      <c r="A9" s="7" t="s">
        <v>10</v>
      </c>
      <c r="B9" s="11"/>
      <c r="C9" s="12"/>
      <c r="D9" s="12"/>
      <c r="E9" s="12">
        <f>E8</f>
        <v>-100000</v>
      </c>
      <c r="F9" s="12"/>
      <c r="G9" s="12"/>
      <c r="H9" s="12"/>
      <c r="I9" s="42">
        <f>I8</f>
        <v>-40499.999999999993</v>
      </c>
      <c r="J9" s="26" t="s">
        <v>11</v>
      </c>
    </row>
    <row r="10" spans="1:10">
      <c r="A10" s="7"/>
      <c r="B10" s="11"/>
      <c r="C10" s="12"/>
      <c r="D10" s="12"/>
      <c r="E10" s="12"/>
      <c r="F10" s="12"/>
      <c r="G10" s="12"/>
      <c r="H10" s="12"/>
      <c r="I10" s="8"/>
      <c r="J10" s="26"/>
    </row>
    <row r="11" spans="1:10">
      <c r="A11" s="7" t="s">
        <v>12</v>
      </c>
      <c r="B11" s="11"/>
      <c r="C11" s="12"/>
      <c r="D11" s="12"/>
      <c r="E11" s="12"/>
      <c r="F11" s="12"/>
      <c r="G11" s="12"/>
      <c r="H11" s="12"/>
      <c r="I11" s="8"/>
      <c r="J11" s="26"/>
    </row>
    <row r="12" spans="1:10">
      <c r="A12" s="7"/>
      <c r="B12" s="34">
        <v>0</v>
      </c>
      <c r="C12" s="35"/>
      <c r="D12" s="35">
        <v>-600000</v>
      </c>
      <c r="E12" s="35">
        <f>D12+C12</f>
        <v>-600000</v>
      </c>
      <c r="F12" s="35"/>
      <c r="G12" s="35">
        <f>400000-(600000-75000*3)</f>
        <v>25000</v>
      </c>
      <c r="H12" s="35">
        <f>G12*0.34</f>
        <v>8500</v>
      </c>
      <c r="I12" s="37">
        <f>E12-H12</f>
        <v>-608500</v>
      </c>
      <c r="J12" s="26"/>
    </row>
    <row r="13" spans="1:10">
      <c r="A13" s="7"/>
      <c r="B13" s="34">
        <v>1</v>
      </c>
      <c r="C13" s="35">
        <v>-15000</v>
      </c>
      <c r="D13" s="35"/>
      <c r="E13" s="35">
        <f t="shared" ref="E13:E17" si="5">D13+C13</f>
        <v>-15000</v>
      </c>
      <c r="F13" s="35">
        <f>1000000/5</f>
        <v>200000</v>
      </c>
      <c r="G13" s="35">
        <f>C13-F13</f>
        <v>-215000</v>
      </c>
      <c r="H13" s="35">
        <f>G13*0.34</f>
        <v>-73100</v>
      </c>
      <c r="I13" s="37">
        <f t="shared" ref="I13:I17" si="6">E13-H13</f>
        <v>58100</v>
      </c>
      <c r="J13" s="26"/>
    </row>
    <row r="14" spans="1:10">
      <c r="A14" s="7"/>
      <c r="B14" s="34">
        <v>2</v>
      </c>
      <c r="C14" s="35">
        <v>-15000</v>
      </c>
      <c r="D14" s="35"/>
      <c r="E14" s="35">
        <f t="shared" si="5"/>
        <v>-15000</v>
      </c>
      <c r="F14" s="35">
        <f t="shared" ref="F14:F17" si="7">1000000/5</f>
        <v>200000</v>
      </c>
      <c r="G14" s="35">
        <f t="shared" ref="G14:G17" si="8">C14-F14</f>
        <v>-215000</v>
      </c>
      <c r="H14" s="35">
        <f t="shared" ref="H14:H17" si="9">G14*0.34</f>
        <v>-73100</v>
      </c>
      <c r="I14" s="37">
        <f t="shared" si="6"/>
        <v>58100</v>
      </c>
      <c r="J14" s="26"/>
    </row>
    <row r="15" spans="1:10">
      <c r="A15" s="7"/>
      <c r="B15" s="34">
        <v>3</v>
      </c>
      <c r="C15" s="35">
        <v>-15000</v>
      </c>
      <c r="D15" s="35"/>
      <c r="E15" s="35">
        <f t="shared" si="5"/>
        <v>-15000</v>
      </c>
      <c r="F15" s="35">
        <f t="shared" si="7"/>
        <v>200000</v>
      </c>
      <c r="G15" s="35">
        <f t="shared" si="8"/>
        <v>-215000</v>
      </c>
      <c r="H15" s="35">
        <f t="shared" si="9"/>
        <v>-73100</v>
      </c>
      <c r="I15" s="37">
        <f t="shared" si="6"/>
        <v>58100</v>
      </c>
      <c r="J15" s="26"/>
    </row>
    <row r="16" spans="1:10">
      <c r="A16" s="7"/>
      <c r="B16" s="34">
        <v>4</v>
      </c>
      <c r="C16" s="35">
        <v>-15000</v>
      </c>
      <c r="D16" s="35"/>
      <c r="E16" s="35">
        <f t="shared" si="5"/>
        <v>-15000</v>
      </c>
      <c r="F16" s="35">
        <f t="shared" si="7"/>
        <v>200000</v>
      </c>
      <c r="G16" s="35">
        <f t="shared" si="8"/>
        <v>-215000</v>
      </c>
      <c r="H16" s="35">
        <f t="shared" si="9"/>
        <v>-73100</v>
      </c>
      <c r="I16" s="37">
        <f t="shared" si="6"/>
        <v>58100</v>
      </c>
      <c r="J16" s="26"/>
    </row>
    <row r="17" spans="1:10">
      <c r="A17" s="7"/>
      <c r="B17" s="34">
        <v>5</v>
      </c>
      <c r="C17" s="35">
        <v>-15000</v>
      </c>
      <c r="D17" s="35"/>
      <c r="E17" s="35">
        <f t="shared" si="5"/>
        <v>-15000</v>
      </c>
      <c r="F17" s="35">
        <f t="shared" si="7"/>
        <v>200000</v>
      </c>
      <c r="G17" s="35">
        <f t="shared" si="8"/>
        <v>-215000</v>
      </c>
      <c r="H17" s="35">
        <f t="shared" si="9"/>
        <v>-73100</v>
      </c>
      <c r="I17" s="37">
        <f t="shared" si="6"/>
        <v>58100</v>
      </c>
      <c r="J17" s="26"/>
    </row>
    <row r="18" spans="1:10" ht="17.25" thickBot="1">
      <c r="A18" s="15" t="s">
        <v>10</v>
      </c>
      <c r="B18" s="43"/>
      <c r="C18" s="20"/>
      <c r="D18" s="20"/>
      <c r="E18" s="20">
        <f>PMT(0.1,5,-E12)+E17</f>
        <v>-173278.48847684724</v>
      </c>
      <c r="F18" s="20"/>
      <c r="G18" s="20"/>
      <c r="H18" s="20"/>
      <c r="I18" s="20">
        <f>PMT(0.1,5,-I12)+I17</f>
        <v>-102420.76706360257</v>
      </c>
      <c r="J18" s="44" t="s">
        <v>11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sqref="A1:I6"/>
    </sheetView>
  </sheetViews>
  <sheetFormatPr defaultRowHeight="16.5"/>
  <cols>
    <col min="1" max="1" width="11.125" style="1" customWidth="1"/>
    <col min="8" max="8" width="10.375" customWidth="1"/>
    <col min="9" max="9" width="12.875" customWidth="1"/>
  </cols>
  <sheetData>
    <row r="1" spans="1:10" s="1" customFormat="1">
      <c r="A1" s="22" t="s">
        <v>13</v>
      </c>
      <c r="B1" s="23">
        <v>0</v>
      </c>
      <c r="C1" s="23">
        <v>1</v>
      </c>
      <c r="D1" s="23">
        <v>2</v>
      </c>
      <c r="E1" s="23">
        <v>3</v>
      </c>
      <c r="F1" s="23">
        <v>4</v>
      </c>
      <c r="G1" s="23">
        <v>5</v>
      </c>
      <c r="H1" s="23" t="s">
        <v>16</v>
      </c>
      <c r="I1" s="6" t="s">
        <v>53</v>
      </c>
    </row>
    <row r="2" spans="1:10">
      <c r="A2" s="7" t="s">
        <v>14</v>
      </c>
      <c r="B2" s="24">
        <v>0</v>
      </c>
      <c r="C2" s="8">
        <v>0.1</v>
      </c>
      <c r="D2" s="8">
        <v>0.1</v>
      </c>
      <c r="E2" s="8">
        <v>0.1</v>
      </c>
      <c r="F2" s="8">
        <v>0.1</v>
      </c>
      <c r="G2" s="8">
        <v>0.1</v>
      </c>
      <c r="H2" s="25">
        <f>G2</f>
        <v>0.1</v>
      </c>
      <c r="I2" s="26"/>
    </row>
    <row r="3" spans="1:10">
      <c r="A3" s="7" t="s">
        <v>19</v>
      </c>
      <c r="B3" s="24"/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25"/>
      <c r="I3" s="26"/>
    </row>
    <row r="4" spans="1:10" ht="33">
      <c r="A4" s="27" t="s">
        <v>15</v>
      </c>
      <c r="B4" s="24">
        <v>-1</v>
      </c>
      <c r="C4" s="8">
        <f>C2+C3</f>
        <v>0.30000000000000004</v>
      </c>
      <c r="D4" s="8">
        <f t="shared" ref="D4:G4" si="0">D2+D3</f>
        <v>0.30000000000000004</v>
      </c>
      <c r="E4" s="8">
        <f t="shared" si="0"/>
        <v>0.30000000000000004</v>
      </c>
      <c r="F4" s="8">
        <f t="shared" si="0"/>
        <v>0.30000000000000004</v>
      </c>
      <c r="G4" s="8">
        <f t="shared" si="0"/>
        <v>0.30000000000000004</v>
      </c>
      <c r="H4" s="28">
        <f>PMT(0.1,5,-I4)</f>
        <v>3.6202519205254621E-2</v>
      </c>
      <c r="I4" s="29">
        <f>NPV(0.1,C4:G4)+B4</f>
        <v>0.13723603082253444</v>
      </c>
      <c r="J4" s="3"/>
    </row>
    <row r="5" spans="1:10">
      <c r="A5" s="7" t="s">
        <v>18</v>
      </c>
      <c r="B5" s="24">
        <f>1</f>
        <v>1</v>
      </c>
      <c r="C5" s="30">
        <f>B5-C3</f>
        <v>0.8</v>
      </c>
      <c r="D5" s="30">
        <f t="shared" ref="D5:G5" si="1">C5-D3</f>
        <v>0.60000000000000009</v>
      </c>
      <c r="E5" s="30">
        <f t="shared" si="1"/>
        <v>0.40000000000000008</v>
      </c>
      <c r="F5" s="30">
        <f t="shared" si="1"/>
        <v>0.20000000000000007</v>
      </c>
      <c r="G5" s="30">
        <f t="shared" si="1"/>
        <v>0</v>
      </c>
      <c r="H5" s="8"/>
      <c r="I5" s="26"/>
    </row>
    <row r="6" spans="1:10" ht="17.25" thickBot="1">
      <c r="A6" s="15" t="s">
        <v>17</v>
      </c>
      <c r="B6" s="16"/>
      <c r="C6" s="31">
        <f>C2-B5*0.1</f>
        <v>0</v>
      </c>
      <c r="D6" s="31">
        <f t="shared" ref="D6:G6" si="2">D2-C5*0.1</f>
        <v>1.999999999999999E-2</v>
      </c>
      <c r="E6" s="31">
        <f t="shared" si="2"/>
        <v>3.9999999999999994E-2</v>
      </c>
      <c r="F6" s="31">
        <f t="shared" si="2"/>
        <v>0.06</v>
      </c>
      <c r="G6" s="31">
        <f t="shared" si="2"/>
        <v>0.08</v>
      </c>
      <c r="H6" s="32">
        <f>PMT(0.1,5,-I6)</f>
        <v>3.6202519205254607E-2</v>
      </c>
      <c r="I6" s="33">
        <f>NPV(0.1,C6:G6)</f>
        <v>0.13723603082253441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2"/>
  <sheetViews>
    <sheetView zoomScale="70" zoomScaleNormal="70" workbookViewId="0">
      <selection activeCell="F6" sqref="F6"/>
    </sheetView>
  </sheetViews>
  <sheetFormatPr defaultRowHeight="16.5"/>
  <cols>
    <col min="1" max="1" width="10.75" style="1" bestFit="1" customWidth="1"/>
    <col min="2" max="3" width="10.875" bestFit="1" customWidth="1"/>
    <col min="4" max="4" width="9.375" bestFit="1" customWidth="1"/>
    <col min="5" max="10" width="10.875" bestFit="1" customWidth="1"/>
    <col min="11" max="11" width="9" style="1"/>
  </cols>
  <sheetData>
    <row r="1" spans="1:11">
      <c r="A1" s="4" t="s">
        <v>54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>
      <c r="A2" s="7" t="s">
        <v>30</v>
      </c>
      <c r="B2" s="8">
        <v>0.4</v>
      </c>
      <c r="C2" s="8"/>
      <c r="D2" s="8" t="s">
        <v>31</v>
      </c>
      <c r="E2" s="8">
        <v>0.12</v>
      </c>
      <c r="F2" s="8"/>
      <c r="G2" s="8"/>
      <c r="H2" s="8"/>
      <c r="I2" s="8"/>
      <c r="J2" s="8"/>
      <c r="K2" s="9"/>
    </row>
    <row r="3" spans="1:11">
      <c r="A3" s="10" t="s">
        <v>20</v>
      </c>
      <c r="B3" s="8"/>
      <c r="C3" s="8"/>
      <c r="D3" s="8"/>
      <c r="E3" s="8"/>
      <c r="F3" s="8"/>
      <c r="G3" s="8"/>
      <c r="H3" s="8"/>
      <c r="I3" s="8"/>
      <c r="J3" s="8"/>
      <c r="K3" s="9"/>
    </row>
    <row r="4" spans="1:11" s="1" customFormat="1">
      <c r="A4" s="7" t="s">
        <v>21</v>
      </c>
      <c r="B4" s="11" t="s">
        <v>22</v>
      </c>
      <c r="C4" s="11" t="s">
        <v>23</v>
      </c>
      <c r="D4" s="11" t="s">
        <v>24</v>
      </c>
      <c r="E4" s="11" t="s">
        <v>25</v>
      </c>
      <c r="F4" s="11" t="s">
        <v>26</v>
      </c>
      <c r="G4" s="11" t="s">
        <v>27</v>
      </c>
      <c r="H4" s="11" t="s">
        <v>28</v>
      </c>
      <c r="I4" s="11" t="s">
        <v>29</v>
      </c>
      <c r="J4" s="11" t="s">
        <v>8</v>
      </c>
      <c r="K4" s="9"/>
    </row>
    <row r="5" spans="1:11">
      <c r="A5" s="7">
        <v>0</v>
      </c>
      <c r="B5" s="12">
        <v>500000</v>
      </c>
      <c r="C5" s="12"/>
      <c r="D5" s="12"/>
      <c r="E5" s="12">
        <f>B5</f>
        <v>500000</v>
      </c>
      <c r="F5" s="12"/>
      <c r="G5" s="12"/>
      <c r="H5" s="12"/>
      <c r="I5" s="12"/>
      <c r="J5" s="12">
        <f>-B5</f>
        <v>-500000</v>
      </c>
      <c r="K5" s="9"/>
    </row>
    <row r="6" spans="1:11">
      <c r="A6" s="7">
        <v>1</v>
      </c>
      <c r="B6" s="12"/>
      <c r="C6" s="12">
        <v>170000</v>
      </c>
      <c r="D6" s="12">
        <f>500000/4</f>
        <v>125000</v>
      </c>
      <c r="E6" s="12">
        <f>E5-D6</f>
        <v>375000</v>
      </c>
      <c r="F6" s="12">
        <f>C6-D6</f>
        <v>45000</v>
      </c>
      <c r="G6" s="12">
        <f>F6*$B$2</f>
        <v>18000</v>
      </c>
      <c r="H6" s="12">
        <f>F6-G6</f>
        <v>27000</v>
      </c>
      <c r="I6" s="12">
        <f>H6-E5*$E$2</f>
        <v>-33000</v>
      </c>
      <c r="J6" s="12">
        <f>C6-G6</f>
        <v>152000</v>
      </c>
      <c r="K6" s="9"/>
    </row>
    <row r="7" spans="1:11">
      <c r="A7" s="7">
        <v>2</v>
      </c>
      <c r="B7" s="12"/>
      <c r="C7" s="12">
        <v>170000</v>
      </c>
      <c r="D7" s="12">
        <f t="shared" ref="D7:D9" si="0">500000/4</f>
        <v>125000</v>
      </c>
      <c r="E7" s="12">
        <f t="shared" ref="E7:E9" si="1">E6-D7</f>
        <v>250000</v>
      </c>
      <c r="F7" s="12">
        <f t="shared" ref="F7:F9" si="2">C7-D7</f>
        <v>45000</v>
      </c>
      <c r="G7" s="12">
        <f t="shared" ref="G7:G9" si="3">F7*$B$2</f>
        <v>18000</v>
      </c>
      <c r="H7" s="12">
        <f t="shared" ref="H7:H9" si="4">F7-G7</f>
        <v>27000</v>
      </c>
      <c r="I7" s="12">
        <f t="shared" ref="I7:I9" si="5">H7-E6*$E$2</f>
        <v>-18000</v>
      </c>
      <c r="J7" s="12">
        <f t="shared" ref="J7:J9" si="6">C7-G7</f>
        <v>152000</v>
      </c>
      <c r="K7" s="9"/>
    </row>
    <row r="8" spans="1:11">
      <c r="A8" s="7">
        <v>3</v>
      </c>
      <c r="B8" s="12"/>
      <c r="C8" s="12">
        <v>170000</v>
      </c>
      <c r="D8" s="12">
        <f t="shared" si="0"/>
        <v>125000</v>
      </c>
      <c r="E8" s="12">
        <f t="shared" si="1"/>
        <v>125000</v>
      </c>
      <c r="F8" s="12">
        <f t="shared" si="2"/>
        <v>45000</v>
      </c>
      <c r="G8" s="12">
        <f t="shared" si="3"/>
        <v>18000</v>
      </c>
      <c r="H8" s="12">
        <f t="shared" si="4"/>
        <v>27000</v>
      </c>
      <c r="I8" s="12">
        <f t="shared" si="5"/>
        <v>-3000</v>
      </c>
      <c r="J8" s="12">
        <f t="shared" si="6"/>
        <v>152000</v>
      </c>
      <c r="K8" s="9"/>
    </row>
    <row r="9" spans="1:11">
      <c r="A9" s="7">
        <v>4</v>
      </c>
      <c r="B9" s="12"/>
      <c r="C9" s="12">
        <v>170000</v>
      </c>
      <c r="D9" s="12">
        <f t="shared" si="0"/>
        <v>125000</v>
      </c>
      <c r="E9" s="12">
        <f t="shared" si="1"/>
        <v>0</v>
      </c>
      <c r="F9" s="12">
        <f t="shared" si="2"/>
        <v>45000</v>
      </c>
      <c r="G9" s="12">
        <f t="shared" si="3"/>
        <v>18000</v>
      </c>
      <c r="H9" s="12">
        <f t="shared" si="4"/>
        <v>27000</v>
      </c>
      <c r="I9" s="12">
        <f t="shared" si="5"/>
        <v>12000</v>
      </c>
      <c r="J9" s="12">
        <f t="shared" si="6"/>
        <v>152000</v>
      </c>
      <c r="K9" s="9"/>
    </row>
    <row r="10" spans="1:11">
      <c r="A10" s="7"/>
      <c r="B10" s="8"/>
      <c r="C10" s="8"/>
      <c r="D10" s="8"/>
      <c r="E10" s="8"/>
      <c r="F10" s="8"/>
      <c r="G10" s="8"/>
      <c r="H10" s="8"/>
      <c r="I10" s="12">
        <f>NPV($E$2,I6:I9)+I5</f>
        <v>-38322.899312786343</v>
      </c>
      <c r="J10" s="12">
        <f>NPV($E$2,J6:J9)+J5</f>
        <v>-38322.899312786467</v>
      </c>
      <c r="K10" s="14" t="s">
        <v>33</v>
      </c>
    </row>
    <row r="11" spans="1:11">
      <c r="A11" s="7"/>
      <c r="B11" s="8"/>
      <c r="C11" s="8"/>
      <c r="D11" s="8"/>
      <c r="E11" s="8"/>
      <c r="F11" s="8"/>
      <c r="G11" s="8"/>
      <c r="H11" s="8"/>
      <c r="I11" s="19">
        <f>PMT($E$2,$A$9,-I10)</f>
        <v>-12617.218152844922</v>
      </c>
      <c r="J11" s="19">
        <f>PMT($E$2,$A$9,-J10)</f>
        <v>-12617.218152844964</v>
      </c>
      <c r="K11" s="14" t="s">
        <v>34</v>
      </c>
    </row>
    <row r="12" spans="1:11">
      <c r="A12" s="7"/>
      <c r="B12" s="8"/>
      <c r="C12" s="8"/>
      <c r="D12" s="8"/>
      <c r="E12" s="8"/>
      <c r="F12" s="8"/>
      <c r="G12" s="8"/>
      <c r="H12" s="8"/>
      <c r="I12" s="8"/>
      <c r="J12" s="8"/>
      <c r="K12" s="9"/>
    </row>
    <row r="13" spans="1:11">
      <c r="A13" s="10" t="s">
        <v>35</v>
      </c>
      <c r="B13" s="8"/>
      <c r="C13" s="8"/>
      <c r="D13" s="8"/>
      <c r="E13" s="8"/>
      <c r="F13" s="8"/>
      <c r="G13" s="8"/>
      <c r="H13" s="8"/>
      <c r="I13" s="8"/>
      <c r="J13" s="8"/>
      <c r="K13" s="9"/>
    </row>
    <row r="14" spans="1:11" s="1" customFormat="1">
      <c r="A14" s="7" t="s">
        <v>21</v>
      </c>
      <c r="B14" s="11" t="s">
        <v>22</v>
      </c>
      <c r="C14" s="11" t="s">
        <v>23</v>
      </c>
      <c r="D14" s="11" t="s">
        <v>24</v>
      </c>
      <c r="E14" s="11" t="s">
        <v>25</v>
      </c>
      <c r="F14" s="11" t="s">
        <v>26</v>
      </c>
      <c r="G14" s="11" t="s">
        <v>27</v>
      </c>
      <c r="H14" s="11" t="s">
        <v>28</v>
      </c>
      <c r="I14" s="11" t="s">
        <v>29</v>
      </c>
      <c r="J14" s="11" t="s">
        <v>8</v>
      </c>
      <c r="K14" s="9"/>
    </row>
    <row r="15" spans="1:11">
      <c r="A15" s="7">
        <v>0</v>
      </c>
      <c r="B15" s="12">
        <v>1200000</v>
      </c>
      <c r="C15" s="12"/>
      <c r="D15" s="12"/>
      <c r="E15" s="12">
        <f>B15</f>
        <v>1200000</v>
      </c>
      <c r="F15" s="12"/>
      <c r="G15" s="12"/>
      <c r="H15" s="12"/>
      <c r="I15" s="12"/>
      <c r="J15" s="12">
        <f>-B15</f>
        <v>-1200000</v>
      </c>
      <c r="K15" s="9"/>
    </row>
    <row r="16" spans="1:11">
      <c r="A16" s="7">
        <v>1</v>
      </c>
      <c r="B16" s="12"/>
      <c r="C16" s="12">
        <v>600000</v>
      </c>
      <c r="D16" s="12">
        <f>B15/4</f>
        <v>300000</v>
      </c>
      <c r="E16" s="12">
        <f>E15-D16</f>
        <v>900000</v>
      </c>
      <c r="F16" s="12">
        <f>C16-D16</f>
        <v>300000</v>
      </c>
      <c r="G16" s="12">
        <f>F16*$B$2</f>
        <v>120000</v>
      </c>
      <c r="H16" s="12">
        <f>F16-G16</f>
        <v>180000</v>
      </c>
      <c r="I16" s="12">
        <f>H16-E15*$E$2</f>
        <v>36000</v>
      </c>
      <c r="J16" s="12">
        <f>H16+D16</f>
        <v>480000</v>
      </c>
      <c r="K16" s="9"/>
    </row>
    <row r="17" spans="1:11">
      <c r="A17" s="7">
        <v>2</v>
      </c>
      <c r="B17" s="12"/>
      <c r="C17" s="12">
        <f>C16-100000</f>
        <v>500000</v>
      </c>
      <c r="D17" s="12">
        <f>D16</f>
        <v>300000</v>
      </c>
      <c r="E17" s="12">
        <f t="shared" ref="E17:E19" si="7">E16-D17</f>
        <v>600000</v>
      </c>
      <c r="F17" s="12">
        <f t="shared" ref="F17:F19" si="8">C17-D17</f>
        <v>200000</v>
      </c>
      <c r="G17" s="12">
        <f t="shared" ref="G17:G19" si="9">F17*$B$2</f>
        <v>80000</v>
      </c>
      <c r="H17" s="12">
        <f t="shared" ref="H17:H19" si="10">F17-G17</f>
        <v>120000</v>
      </c>
      <c r="I17" s="12">
        <f t="shared" ref="I17:I19" si="11">H17-E16*$E$2</f>
        <v>12000</v>
      </c>
      <c r="J17" s="12">
        <f t="shared" ref="J17:J19" si="12">H17+D17</f>
        <v>420000</v>
      </c>
      <c r="K17" s="9"/>
    </row>
    <row r="18" spans="1:11">
      <c r="A18" s="7">
        <v>3</v>
      </c>
      <c r="B18" s="12"/>
      <c r="C18" s="12">
        <f t="shared" ref="C18:C19" si="13">C17-100000</f>
        <v>400000</v>
      </c>
      <c r="D18" s="12">
        <f t="shared" ref="D18:D19" si="14">D17</f>
        <v>300000</v>
      </c>
      <c r="E18" s="12">
        <f t="shared" si="7"/>
        <v>300000</v>
      </c>
      <c r="F18" s="12">
        <f t="shared" si="8"/>
        <v>100000</v>
      </c>
      <c r="G18" s="12">
        <f t="shared" si="9"/>
        <v>40000</v>
      </c>
      <c r="H18" s="12">
        <f t="shared" si="10"/>
        <v>60000</v>
      </c>
      <c r="I18" s="12">
        <f t="shared" si="11"/>
        <v>-12000</v>
      </c>
      <c r="J18" s="12">
        <f t="shared" si="12"/>
        <v>360000</v>
      </c>
      <c r="K18" s="9"/>
    </row>
    <row r="19" spans="1:11">
      <c r="A19" s="7">
        <v>4</v>
      </c>
      <c r="B19" s="12"/>
      <c r="C19" s="12">
        <f t="shared" si="13"/>
        <v>300000</v>
      </c>
      <c r="D19" s="12">
        <f t="shared" si="14"/>
        <v>300000</v>
      </c>
      <c r="E19" s="12">
        <f t="shared" si="7"/>
        <v>0</v>
      </c>
      <c r="F19" s="12">
        <f t="shared" si="8"/>
        <v>0</v>
      </c>
      <c r="G19" s="12">
        <f t="shared" si="9"/>
        <v>0</v>
      </c>
      <c r="H19" s="12">
        <f t="shared" si="10"/>
        <v>0</v>
      </c>
      <c r="I19" s="12">
        <f t="shared" si="11"/>
        <v>-36000</v>
      </c>
      <c r="J19" s="12">
        <f t="shared" si="12"/>
        <v>300000</v>
      </c>
      <c r="K19" s="9"/>
    </row>
    <row r="20" spans="1:11">
      <c r="A20" s="7"/>
      <c r="B20" s="12"/>
      <c r="C20" s="12"/>
      <c r="D20" s="12"/>
      <c r="E20" s="12"/>
      <c r="F20" s="12"/>
      <c r="G20" s="12"/>
      <c r="H20" s="12"/>
      <c r="I20" s="12">
        <f>NPV($E$2,I16:I19)+I15</f>
        <v>10289.169877134531</v>
      </c>
      <c r="J20" s="12">
        <f>NPV($E$2,J16:J19)+J15</f>
        <v>10289.169877134496</v>
      </c>
      <c r="K20" s="14" t="s">
        <v>33</v>
      </c>
    </row>
    <row r="21" spans="1:11" ht="17.25" thickBot="1">
      <c r="A21" s="15"/>
      <c r="B21" s="20"/>
      <c r="C21" s="20"/>
      <c r="D21" s="20"/>
      <c r="E21" s="20"/>
      <c r="F21" s="20"/>
      <c r="G21" s="20"/>
      <c r="H21" s="20"/>
      <c r="I21" s="21">
        <f>PMT($E$2,$A$9,-I20)</f>
        <v>3387.5490445518717</v>
      </c>
      <c r="J21" s="21">
        <f>PMT($E$2,$A$9,-J20)</f>
        <v>3387.5490445518603</v>
      </c>
      <c r="K21" s="18" t="s">
        <v>34</v>
      </c>
    </row>
    <row r="22" spans="1:11" ht="17.25" thickBot="1"/>
    <row r="23" spans="1:11">
      <c r="A23" s="4" t="s">
        <v>55</v>
      </c>
      <c r="B23" s="5"/>
      <c r="C23" s="5"/>
      <c r="D23" s="5"/>
      <c r="E23" s="5"/>
      <c r="F23" s="5"/>
      <c r="G23" s="5"/>
      <c r="H23" s="5"/>
      <c r="I23" s="5"/>
      <c r="J23" s="5"/>
      <c r="K23" s="6"/>
    </row>
    <row r="24" spans="1:11">
      <c r="A24" s="7" t="s">
        <v>56</v>
      </c>
      <c r="B24" s="8">
        <v>0.3</v>
      </c>
      <c r="C24" s="8"/>
      <c r="D24" s="8" t="s">
        <v>31</v>
      </c>
      <c r="E24" s="8">
        <v>0.08</v>
      </c>
      <c r="F24" s="8"/>
      <c r="G24" s="8"/>
      <c r="H24" s="8"/>
      <c r="I24" s="8"/>
      <c r="J24" s="8"/>
      <c r="K24" s="9"/>
    </row>
    <row r="25" spans="1:11">
      <c r="A25" s="10" t="s">
        <v>57</v>
      </c>
      <c r="B25" s="8"/>
      <c r="C25" s="8"/>
      <c r="D25" s="8"/>
      <c r="E25" s="8"/>
      <c r="F25" s="8"/>
      <c r="G25" s="8"/>
      <c r="H25" s="8"/>
      <c r="I25" s="8"/>
      <c r="J25" s="8"/>
      <c r="K25" s="9"/>
    </row>
    <row r="26" spans="1:11" s="1" customFormat="1">
      <c r="A26" s="7" t="s">
        <v>1</v>
      </c>
      <c r="B26" s="11" t="s">
        <v>3</v>
      </c>
      <c r="C26" s="11" t="s">
        <v>23</v>
      </c>
      <c r="D26" s="11" t="s">
        <v>24</v>
      </c>
      <c r="E26" s="11" t="s">
        <v>25</v>
      </c>
      <c r="F26" s="11" t="s">
        <v>26</v>
      </c>
      <c r="G26" s="11" t="s">
        <v>27</v>
      </c>
      <c r="H26" s="11" t="s">
        <v>14</v>
      </c>
      <c r="I26" s="11" t="s">
        <v>29</v>
      </c>
      <c r="J26" s="11" t="s">
        <v>8</v>
      </c>
      <c r="K26" s="9"/>
    </row>
    <row r="27" spans="1:11">
      <c r="A27" s="7">
        <v>0</v>
      </c>
      <c r="B27" s="12">
        <v>4200000</v>
      </c>
      <c r="C27" s="12"/>
      <c r="D27" s="12"/>
      <c r="E27" s="12">
        <f>B27</f>
        <v>4200000</v>
      </c>
      <c r="F27" s="12"/>
      <c r="G27" s="12"/>
      <c r="H27" s="12"/>
      <c r="I27" s="12"/>
      <c r="J27" s="12">
        <f>-E27</f>
        <v>-4200000</v>
      </c>
      <c r="K27" s="9"/>
    </row>
    <row r="28" spans="1:11">
      <c r="A28" s="7">
        <v>1</v>
      </c>
      <c r="B28" s="12"/>
      <c r="C28" s="12">
        <v>1500000</v>
      </c>
      <c r="D28" s="12">
        <f>B27/8</f>
        <v>525000</v>
      </c>
      <c r="E28" s="12">
        <f>$B$27-A28*D28</f>
        <v>3675000</v>
      </c>
      <c r="F28" s="12">
        <f>C28-D28</f>
        <v>975000</v>
      </c>
      <c r="G28" s="12">
        <f>F28*$B$24</f>
        <v>292500</v>
      </c>
      <c r="H28" s="12">
        <f>F28-G28</f>
        <v>682500</v>
      </c>
      <c r="I28" s="12">
        <f>H28-E27*$E$24</f>
        <v>346500</v>
      </c>
      <c r="J28" s="12">
        <f>C28-G28</f>
        <v>1207500</v>
      </c>
      <c r="K28" s="9"/>
    </row>
    <row r="29" spans="1:11">
      <c r="A29" s="7">
        <v>2</v>
      </c>
      <c r="B29" s="12"/>
      <c r="C29" s="12">
        <f>C28+300000</f>
        <v>1800000</v>
      </c>
      <c r="D29" s="12">
        <f>D28</f>
        <v>525000</v>
      </c>
      <c r="E29" s="12">
        <f t="shared" ref="E29:E35" si="15">$B$27-A29*D29</f>
        <v>3150000</v>
      </c>
      <c r="F29" s="12">
        <f t="shared" ref="F29:F35" si="16">C29-D29</f>
        <v>1275000</v>
      </c>
      <c r="G29" s="12">
        <f t="shared" ref="G29:G35" si="17">F29*$B$24</f>
        <v>382500</v>
      </c>
      <c r="H29" s="12">
        <f t="shared" ref="H29:H35" si="18">F29-G29</f>
        <v>892500</v>
      </c>
      <c r="I29" s="12">
        <f t="shared" ref="I29:I35" si="19">H29-E28*$E$24</f>
        <v>598500</v>
      </c>
      <c r="J29" s="12">
        <f t="shared" ref="J29:J35" si="20">C29-G29</f>
        <v>1417500</v>
      </c>
      <c r="K29" s="9"/>
    </row>
    <row r="30" spans="1:11">
      <c r="A30" s="7">
        <v>3</v>
      </c>
      <c r="B30" s="12"/>
      <c r="C30" s="12">
        <f t="shared" ref="C30:C35" si="21">C29+300000</f>
        <v>2100000</v>
      </c>
      <c r="D30" s="12">
        <f t="shared" ref="D30:D35" si="22">D29</f>
        <v>525000</v>
      </c>
      <c r="E30" s="12">
        <f t="shared" si="15"/>
        <v>2625000</v>
      </c>
      <c r="F30" s="12">
        <f t="shared" si="16"/>
        <v>1575000</v>
      </c>
      <c r="G30" s="12">
        <f t="shared" si="17"/>
        <v>472500</v>
      </c>
      <c r="H30" s="12">
        <f t="shared" si="18"/>
        <v>1102500</v>
      </c>
      <c r="I30" s="12">
        <f t="shared" si="19"/>
        <v>850500</v>
      </c>
      <c r="J30" s="12">
        <f t="shared" si="20"/>
        <v>1627500</v>
      </c>
      <c r="K30" s="9"/>
    </row>
    <row r="31" spans="1:11">
      <c r="A31" s="7">
        <v>4</v>
      </c>
      <c r="B31" s="12"/>
      <c r="C31" s="12">
        <f t="shared" si="21"/>
        <v>2400000</v>
      </c>
      <c r="D31" s="12">
        <f t="shared" si="22"/>
        <v>525000</v>
      </c>
      <c r="E31" s="12">
        <f t="shared" si="15"/>
        <v>2100000</v>
      </c>
      <c r="F31" s="12">
        <f t="shared" si="16"/>
        <v>1875000</v>
      </c>
      <c r="G31" s="12">
        <f t="shared" si="17"/>
        <v>562500</v>
      </c>
      <c r="H31" s="12">
        <f t="shared" si="18"/>
        <v>1312500</v>
      </c>
      <c r="I31" s="12">
        <f t="shared" si="19"/>
        <v>1102500</v>
      </c>
      <c r="J31" s="12">
        <f t="shared" si="20"/>
        <v>1837500</v>
      </c>
      <c r="K31" s="9"/>
    </row>
    <row r="32" spans="1:11">
      <c r="A32" s="7">
        <v>5</v>
      </c>
      <c r="B32" s="12"/>
      <c r="C32" s="12">
        <f t="shared" si="21"/>
        <v>2700000</v>
      </c>
      <c r="D32" s="12">
        <f t="shared" si="22"/>
        <v>525000</v>
      </c>
      <c r="E32" s="12">
        <f t="shared" si="15"/>
        <v>1575000</v>
      </c>
      <c r="F32" s="12">
        <f t="shared" si="16"/>
        <v>2175000</v>
      </c>
      <c r="G32" s="12">
        <f t="shared" si="17"/>
        <v>652500</v>
      </c>
      <c r="H32" s="12">
        <f t="shared" si="18"/>
        <v>1522500</v>
      </c>
      <c r="I32" s="12">
        <f t="shared" si="19"/>
        <v>1354500</v>
      </c>
      <c r="J32" s="12">
        <f t="shared" si="20"/>
        <v>2047500</v>
      </c>
      <c r="K32" s="9"/>
    </row>
    <row r="33" spans="1:11">
      <c r="A33" s="7">
        <v>6</v>
      </c>
      <c r="B33" s="12"/>
      <c r="C33" s="12">
        <f t="shared" si="21"/>
        <v>3000000</v>
      </c>
      <c r="D33" s="12">
        <f t="shared" si="22"/>
        <v>525000</v>
      </c>
      <c r="E33" s="12">
        <f t="shared" si="15"/>
        <v>1050000</v>
      </c>
      <c r="F33" s="12">
        <f t="shared" si="16"/>
        <v>2475000</v>
      </c>
      <c r="G33" s="12">
        <f t="shared" si="17"/>
        <v>742500</v>
      </c>
      <c r="H33" s="12">
        <f t="shared" si="18"/>
        <v>1732500</v>
      </c>
      <c r="I33" s="12">
        <f t="shared" si="19"/>
        <v>1606500</v>
      </c>
      <c r="J33" s="12">
        <f t="shared" si="20"/>
        <v>2257500</v>
      </c>
      <c r="K33" s="9"/>
    </row>
    <row r="34" spans="1:11">
      <c r="A34" s="7">
        <v>7</v>
      </c>
      <c r="B34" s="12"/>
      <c r="C34" s="12">
        <f t="shared" si="21"/>
        <v>3300000</v>
      </c>
      <c r="D34" s="12">
        <f t="shared" si="22"/>
        <v>525000</v>
      </c>
      <c r="E34" s="12">
        <f t="shared" si="15"/>
        <v>525000</v>
      </c>
      <c r="F34" s="12">
        <f t="shared" si="16"/>
        <v>2775000</v>
      </c>
      <c r="G34" s="12">
        <f t="shared" si="17"/>
        <v>832500</v>
      </c>
      <c r="H34" s="12">
        <f t="shared" si="18"/>
        <v>1942500</v>
      </c>
      <c r="I34" s="12">
        <f t="shared" si="19"/>
        <v>1858500</v>
      </c>
      <c r="J34" s="12">
        <f t="shared" si="20"/>
        <v>2467500</v>
      </c>
      <c r="K34" s="9"/>
    </row>
    <row r="35" spans="1:11">
      <c r="A35" s="7">
        <v>8</v>
      </c>
      <c r="B35" s="12"/>
      <c r="C35" s="12">
        <f t="shared" si="21"/>
        <v>3600000</v>
      </c>
      <c r="D35" s="12">
        <f t="shared" si="22"/>
        <v>525000</v>
      </c>
      <c r="E35" s="12">
        <f t="shared" si="15"/>
        <v>0</v>
      </c>
      <c r="F35" s="12">
        <f t="shared" si="16"/>
        <v>3075000</v>
      </c>
      <c r="G35" s="12">
        <f t="shared" si="17"/>
        <v>922500</v>
      </c>
      <c r="H35" s="12">
        <f t="shared" si="18"/>
        <v>2152500</v>
      </c>
      <c r="I35" s="12">
        <f t="shared" si="19"/>
        <v>2110500</v>
      </c>
      <c r="J35" s="12">
        <f t="shared" si="20"/>
        <v>2677500</v>
      </c>
      <c r="K35" s="9"/>
    </row>
    <row r="36" spans="1:11">
      <c r="A36" s="7"/>
      <c r="B36" s="8"/>
      <c r="C36" s="8"/>
      <c r="D36" s="8"/>
      <c r="E36" s="8"/>
      <c r="F36" s="8"/>
      <c r="G36" s="8"/>
      <c r="H36" s="8"/>
      <c r="I36" s="13">
        <f>NPV($E$24,I28:I35)</f>
        <v>6478347.1772857159</v>
      </c>
      <c r="J36" s="13">
        <f>NPV($E$24,J28:J35)+J27</f>
        <v>6478347.1772857159</v>
      </c>
      <c r="K36" s="14" t="s">
        <v>33</v>
      </c>
    </row>
    <row r="37" spans="1:11">
      <c r="A37" s="7"/>
      <c r="B37" s="8"/>
      <c r="C37" s="8"/>
      <c r="D37" s="8"/>
      <c r="E37" s="8"/>
      <c r="F37" s="8"/>
      <c r="G37" s="8"/>
      <c r="H37" s="8"/>
      <c r="I37" s="13">
        <f>PMT($E$24,8,-I36)</f>
        <v>1127328.0330860808</v>
      </c>
      <c r="J37" s="13">
        <f>PMT($E$24,8,-J36)</f>
        <v>1127328.0330860808</v>
      </c>
      <c r="K37" s="14" t="s">
        <v>34</v>
      </c>
    </row>
    <row r="38" spans="1:11">
      <c r="A38" s="7"/>
      <c r="B38" s="8"/>
      <c r="C38" s="8"/>
      <c r="D38" s="8"/>
      <c r="E38" s="8"/>
      <c r="F38" s="8"/>
      <c r="G38" s="8"/>
      <c r="H38" s="8"/>
      <c r="I38" s="8"/>
      <c r="J38" s="8"/>
      <c r="K38" s="9"/>
    </row>
    <row r="39" spans="1:11">
      <c r="A39" s="7"/>
      <c r="B39" s="8"/>
      <c r="C39" s="8"/>
      <c r="D39" s="8"/>
      <c r="E39" s="8"/>
      <c r="F39" s="8"/>
      <c r="G39" s="8"/>
      <c r="H39" s="8"/>
      <c r="I39" s="8"/>
      <c r="J39" s="8"/>
      <c r="K39" s="9"/>
    </row>
    <row r="40" spans="1:11">
      <c r="A40" s="10" t="s">
        <v>58</v>
      </c>
      <c r="B40" s="8"/>
      <c r="C40" s="8"/>
      <c r="D40" s="8"/>
      <c r="E40" s="8"/>
      <c r="F40" s="8"/>
      <c r="G40" s="8"/>
      <c r="H40" s="8"/>
      <c r="I40" s="8"/>
      <c r="J40" s="8"/>
      <c r="K40" s="9"/>
    </row>
    <row r="41" spans="1:11">
      <c r="A41" s="7" t="s">
        <v>1</v>
      </c>
      <c r="B41" s="11" t="s">
        <v>3</v>
      </c>
      <c r="C41" s="11" t="s">
        <v>23</v>
      </c>
      <c r="D41" s="11" t="s">
        <v>24</v>
      </c>
      <c r="E41" s="11" t="s">
        <v>25</v>
      </c>
      <c r="F41" s="11" t="s">
        <v>26</v>
      </c>
      <c r="G41" s="11" t="s">
        <v>27</v>
      </c>
      <c r="H41" s="11" t="s">
        <v>14</v>
      </c>
      <c r="I41" s="11" t="s">
        <v>29</v>
      </c>
      <c r="J41" s="11" t="s">
        <v>8</v>
      </c>
      <c r="K41" s="9"/>
    </row>
    <row r="42" spans="1:11">
      <c r="A42" s="7">
        <v>0</v>
      </c>
      <c r="B42" s="12">
        <v>3600000</v>
      </c>
      <c r="C42" s="12"/>
      <c r="D42" s="12"/>
      <c r="E42" s="12">
        <f>B42</f>
        <v>3600000</v>
      </c>
      <c r="F42" s="12"/>
      <c r="G42" s="12"/>
      <c r="H42" s="12"/>
      <c r="I42" s="12"/>
      <c r="J42" s="12">
        <f>-E42</f>
        <v>-3600000</v>
      </c>
      <c r="K42" s="9"/>
    </row>
    <row r="43" spans="1:11">
      <c r="A43" s="7">
        <v>1</v>
      </c>
      <c r="B43" s="12"/>
      <c r="C43" s="12">
        <v>1500000</v>
      </c>
      <c r="D43" s="12">
        <f>B42/5</f>
        <v>720000</v>
      </c>
      <c r="E43" s="12">
        <f>$B$42-A43*D43</f>
        <v>2880000</v>
      </c>
      <c r="F43" s="12">
        <f>C43-D43</f>
        <v>780000</v>
      </c>
      <c r="G43" s="12">
        <f>F43*$B$24</f>
        <v>234000</v>
      </c>
      <c r="H43" s="12">
        <f>F43-G43</f>
        <v>546000</v>
      </c>
      <c r="I43" s="12">
        <f>H43-E42*$E$24</f>
        <v>258000</v>
      </c>
      <c r="J43" s="12">
        <f>C43-G43</f>
        <v>1266000</v>
      </c>
      <c r="K43" s="9"/>
    </row>
    <row r="44" spans="1:11">
      <c r="A44" s="7">
        <v>2</v>
      </c>
      <c r="B44" s="12"/>
      <c r="C44" s="12">
        <f>C43+300000</f>
        <v>1800000</v>
      </c>
      <c r="D44" s="12">
        <f>D43</f>
        <v>720000</v>
      </c>
      <c r="E44" s="12">
        <f t="shared" ref="E44:E47" si="23">$B$42-A44*D44</f>
        <v>2160000</v>
      </c>
      <c r="F44" s="12">
        <f t="shared" ref="F44:F50" si="24">C44-D44</f>
        <v>1080000</v>
      </c>
      <c r="G44" s="12">
        <f t="shared" ref="G44:G50" si="25">F44*$B$24</f>
        <v>324000</v>
      </c>
      <c r="H44" s="12">
        <f t="shared" ref="H44:H50" si="26">F44-G44</f>
        <v>756000</v>
      </c>
      <c r="I44" s="12">
        <f t="shared" ref="I44:I50" si="27">H44-E43*$E$24</f>
        <v>525600</v>
      </c>
      <c r="J44" s="12">
        <f t="shared" ref="J44:J50" si="28">C44-G44</f>
        <v>1476000</v>
      </c>
      <c r="K44" s="9"/>
    </row>
    <row r="45" spans="1:11">
      <c r="A45" s="7">
        <v>3</v>
      </c>
      <c r="B45" s="12"/>
      <c r="C45" s="12">
        <f t="shared" ref="C45:C50" si="29">C44+300000</f>
        <v>2100000</v>
      </c>
      <c r="D45" s="12">
        <f t="shared" ref="D45:D47" si="30">D44</f>
        <v>720000</v>
      </c>
      <c r="E45" s="12">
        <f t="shared" si="23"/>
        <v>1440000</v>
      </c>
      <c r="F45" s="12">
        <f t="shared" si="24"/>
        <v>1380000</v>
      </c>
      <c r="G45" s="12">
        <f t="shared" si="25"/>
        <v>414000</v>
      </c>
      <c r="H45" s="12">
        <f t="shared" si="26"/>
        <v>966000</v>
      </c>
      <c r="I45" s="12">
        <f t="shared" si="27"/>
        <v>793200</v>
      </c>
      <c r="J45" s="12">
        <f t="shared" si="28"/>
        <v>1686000</v>
      </c>
      <c r="K45" s="9"/>
    </row>
    <row r="46" spans="1:11">
      <c r="A46" s="7">
        <v>4</v>
      </c>
      <c r="B46" s="12"/>
      <c r="C46" s="12">
        <f t="shared" si="29"/>
        <v>2400000</v>
      </c>
      <c r="D46" s="12">
        <f t="shared" si="30"/>
        <v>720000</v>
      </c>
      <c r="E46" s="12">
        <f t="shared" si="23"/>
        <v>720000</v>
      </c>
      <c r="F46" s="12">
        <f t="shared" si="24"/>
        <v>1680000</v>
      </c>
      <c r="G46" s="12">
        <f t="shared" si="25"/>
        <v>504000</v>
      </c>
      <c r="H46" s="12">
        <f t="shared" si="26"/>
        <v>1176000</v>
      </c>
      <c r="I46" s="12">
        <f t="shared" si="27"/>
        <v>1060800</v>
      </c>
      <c r="J46" s="12">
        <f t="shared" si="28"/>
        <v>1896000</v>
      </c>
      <c r="K46" s="9"/>
    </row>
    <row r="47" spans="1:11">
      <c r="A47" s="7">
        <v>5</v>
      </c>
      <c r="B47" s="12"/>
      <c r="C47" s="12">
        <f t="shared" si="29"/>
        <v>2700000</v>
      </c>
      <c r="D47" s="12">
        <f t="shared" si="30"/>
        <v>720000</v>
      </c>
      <c r="E47" s="12">
        <f t="shared" si="23"/>
        <v>0</v>
      </c>
      <c r="F47" s="12">
        <f t="shared" si="24"/>
        <v>1980000</v>
      </c>
      <c r="G47" s="12">
        <f t="shared" si="25"/>
        <v>594000</v>
      </c>
      <c r="H47" s="12">
        <f t="shared" si="26"/>
        <v>1386000</v>
      </c>
      <c r="I47" s="12">
        <f t="shared" si="27"/>
        <v>1328400</v>
      </c>
      <c r="J47" s="12">
        <f t="shared" si="28"/>
        <v>2106000</v>
      </c>
      <c r="K47" s="9"/>
    </row>
    <row r="48" spans="1:11">
      <c r="A48" s="7">
        <v>6</v>
      </c>
      <c r="B48" s="12"/>
      <c r="C48" s="12">
        <f t="shared" si="29"/>
        <v>3000000</v>
      </c>
      <c r="D48" s="12">
        <v>0</v>
      </c>
      <c r="E48" s="12">
        <v>0</v>
      </c>
      <c r="F48" s="12">
        <f t="shared" si="24"/>
        <v>3000000</v>
      </c>
      <c r="G48" s="12">
        <f t="shared" si="25"/>
        <v>900000</v>
      </c>
      <c r="H48" s="12">
        <f t="shared" si="26"/>
        <v>2100000</v>
      </c>
      <c r="I48" s="12">
        <f t="shared" si="27"/>
        <v>2100000</v>
      </c>
      <c r="J48" s="12">
        <f t="shared" si="28"/>
        <v>2100000</v>
      </c>
      <c r="K48" s="9"/>
    </row>
    <row r="49" spans="1:11">
      <c r="A49" s="7">
        <v>7</v>
      </c>
      <c r="B49" s="12"/>
      <c r="C49" s="12">
        <f t="shared" si="29"/>
        <v>3300000</v>
      </c>
      <c r="D49" s="12">
        <v>0</v>
      </c>
      <c r="E49" s="12">
        <v>0</v>
      </c>
      <c r="F49" s="12">
        <f t="shared" si="24"/>
        <v>3300000</v>
      </c>
      <c r="G49" s="12">
        <f t="shared" si="25"/>
        <v>990000</v>
      </c>
      <c r="H49" s="12">
        <f t="shared" si="26"/>
        <v>2310000</v>
      </c>
      <c r="I49" s="12">
        <f t="shared" si="27"/>
        <v>2310000</v>
      </c>
      <c r="J49" s="12">
        <f t="shared" si="28"/>
        <v>2310000</v>
      </c>
      <c r="K49" s="9"/>
    </row>
    <row r="50" spans="1:11">
      <c r="A50" s="7">
        <v>8</v>
      </c>
      <c r="B50" s="12"/>
      <c r="C50" s="12">
        <f t="shared" si="29"/>
        <v>3600000</v>
      </c>
      <c r="D50" s="12">
        <v>0</v>
      </c>
      <c r="E50" s="12">
        <v>0</v>
      </c>
      <c r="F50" s="12">
        <f t="shared" si="24"/>
        <v>3600000</v>
      </c>
      <c r="G50" s="12">
        <f t="shared" si="25"/>
        <v>1080000</v>
      </c>
      <c r="H50" s="12">
        <f t="shared" si="26"/>
        <v>2520000</v>
      </c>
      <c r="I50" s="12">
        <f t="shared" si="27"/>
        <v>2520000</v>
      </c>
      <c r="J50" s="12">
        <f t="shared" si="28"/>
        <v>2520000</v>
      </c>
      <c r="K50" s="9"/>
    </row>
    <row r="51" spans="1:11">
      <c r="A51" s="7"/>
      <c r="B51" s="8"/>
      <c r="C51" s="8"/>
      <c r="D51" s="8"/>
      <c r="E51" s="8"/>
      <c r="F51" s="8"/>
      <c r="G51" s="8"/>
      <c r="H51" s="8"/>
      <c r="I51" s="13">
        <f>NPV($E$24,I43:I50)</f>
        <v>7035676.9116578465</v>
      </c>
      <c r="J51" s="13">
        <f>NPV($E$24,J43:J50)+J42</f>
        <v>7035676.9116578475</v>
      </c>
      <c r="K51" s="14" t="s">
        <v>33</v>
      </c>
    </row>
    <row r="52" spans="1:11" ht="17.25" thickBot="1">
      <c r="A52" s="15"/>
      <c r="B52" s="16"/>
      <c r="C52" s="16"/>
      <c r="D52" s="16"/>
      <c r="E52" s="16"/>
      <c r="F52" s="16"/>
      <c r="G52" s="16"/>
      <c r="H52" s="16"/>
      <c r="I52" s="17">
        <f>PMT($E$24,8,-I51)</f>
        <v>1224311.6333835509</v>
      </c>
      <c r="J52" s="17">
        <f>PMT($E$24,8,-J51)</f>
        <v>1224311.6333835511</v>
      </c>
      <c r="K52" s="18" t="s">
        <v>34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"/>
  <sheetViews>
    <sheetView tabSelected="1" zoomScale="70" zoomScaleNormal="70" workbookViewId="0">
      <selection activeCell="D12" sqref="D12"/>
    </sheetView>
  </sheetViews>
  <sheetFormatPr defaultRowHeight="16.5"/>
  <cols>
    <col min="1" max="1" width="9" style="1"/>
    <col min="2" max="2" width="10.875" bestFit="1" customWidth="1"/>
    <col min="3" max="4" width="9.375" bestFit="1" customWidth="1"/>
    <col min="5" max="5" width="10.875" bestFit="1" customWidth="1"/>
    <col min="6" max="6" width="10.875" customWidth="1"/>
    <col min="7" max="8" width="9.375" bestFit="1" customWidth="1"/>
    <col min="9" max="9" width="11.375" bestFit="1" customWidth="1"/>
    <col min="10" max="10" width="9.75" bestFit="1" customWidth="1"/>
    <col min="11" max="12" width="10.875" bestFit="1" customWidth="1"/>
    <col min="13" max="13" width="10.875" customWidth="1"/>
    <col min="14" max="14" width="9" style="1"/>
  </cols>
  <sheetData>
    <row r="1" spans="1:14">
      <c r="A1" s="22" t="s">
        <v>30</v>
      </c>
      <c r="B1" s="5">
        <v>0.4</v>
      </c>
      <c r="C1" s="5"/>
      <c r="D1" s="5" t="s">
        <v>31</v>
      </c>
      <c r="E1" s="5">
        <v>0.12</v>
      </c>
      <c r="F1" s="5"/>
      <c r="G1" s="5"/>
      <c r="H1" s="5" t="s">
        <v>32</v>
      </c>
      <c r="I1" s="5">
        <v>0.05</v>
      </c>
      <c r="J1" s="5"/>
      <c r="K1" s="5" t="s">
        <v>43</v>
      </c>
      <c r="L1" s="5">
        <f>E1+I1+E1*I1</f>
        <v>0.17599999999999999</v>
      </c>
      <c r="M1" s="5"/>
      <c r="N1" s="6"/>
    </row>
    <row r="2" spans="1:14">
      <c r="A2" s="10" t="s">
        <v>20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</row>
    <row r="3" spans="1:14" s="1" customFormat="1">
      <c r="A3" s="7" t="s">
        <v>21</v>
      </c>
      <c r="B3" s="11" t="s">
        <v>22</v>
      </c>
      <c r="C3" s="11" t="s">
        <v>36</v>
      </c>
      <c r="D3" s="11" t="s">
        <v>24</v>
      </c>
      <c r="E3" s="11" t="s">
        <v>25</v>
      </c>
      <c r="F3" s="11" t="s">
        <v>37</v>
      </c>
      <c r="G3" s="11" t="s">
        <v>26</v>
      </c>
      <c r="H3" s="11" t="s">
        <v>27</v>
      </c>
      <c r="I3" s="11" t="s">
        <v>38</v>
      </c>
      <c r="J3" s="11" t="s">
        <v>41</v>
      </c>
      <c r="K3" s="11" t="s">
        <v>42</v>
      </c>
      <c r="L3" s="11" t="s">
        <v>39</v>
      </c>
      <c r="M3" s="11" t="s">
        <v>40</v>
      </c>
      <c r="N3" s="9"/>
    </row>
    <row r="4" spans="1:14">
      <c r="A4" s="7">
        <v>0</v>
      </c>
      <c r="B4" s="12">
        <v>500000</v>
      </c>
      <c r="C4" s="12"/>
      <c r="D4" s="12"/>
      <c r="E4" s="12">
        <f>B4</f>
        <v>500000</v>
      </c>
      <c r="F4" s="12"/>
      <c r="G4" s="12"/>
      <c r="H4" s="12"/>
      <c r="I4" s="12"/>
      <c r="J4" s="12"/>
      <c r="K4" s="12"/>
      <c r="L4" s="12">
        <f>-B4</f>
        <v>-500000</v>
      </c>
      <c r="M4" s="12">
        <f>L4/(1+$I$1)^A4</f>
        <v>-500000</v>
      </c>
      <c r="N4" s="9"/>
    </row>
    <row r="5" spans="1:14">
      <c r="A5" s="7">
        <v>1</v>
      </c>
      <c r="B5" s="12"/>
      <c r="C5" s="12">
        <v>170000</v>
      </c>
      <c r="D5" s="12">
        <f>500000/4</f>
        <v>125000</v>
      </c>
      <c r="E5" s="12">
        <f>E4-D5</f>
        <v>375000</v>
      </c>
      <c r="F5" s="12">
        <f>C5*(1+$I$1)^A5</f>
        <v>178500</v>
      </c>
      <c r="G5" s="12">
        <f>F5-D5</f>
        <v>53500</v>
      </c>
      <c r="H5" s="12">
        <f>G5*$B$1</f>
        <v>21400</v>
      </c>
      <c r="I5" s="12">
        <f>G5-H5</f>
        <v>32100</v>
      </c>
      <c r="J5" s="12">
        <f>I5-E4*$L$1</f>
        <v>-55900</v>
      </c>
      <c r="K5" s="12">
        <f>J5/(1+$I$1)^A5</f>
        <v>-53238.095238095237</v>
      </c>
      <c r="L5" s="12">
        <f>F5-H5</f>
        <v>157100</v>
      </c>
      <c r="M5" s="12">
        <f t="shared" ref="M5:M8" si="0">L5/(1+$I$1)^A5</f>
        <v>149619.0476190476</v>
      </c>
      <c r="N5" s="9"/>
    </row>
    <row r="6" spans="1:14">
      <c r="A6" s="7">
        <v>2</v>
      </c>
      <c r="B6" s="12"/>
      <c r="C6" s="12">
        <v>170000</v>
      </c>
      <c r="D6" s="12">
        <f t="shared" ref="D6:D8" si="1">500000/4</f>
        <v>125000</v>
      </c>
      <c r="E6" s="12">
        <f t="shared" ref="E6:E8" si="2">E5-D6</f>
        <v>250000</v>
      </c>
      <c r="F6" s="12">
        <f t="shared" ref="F6:F8" si="3">C6*(1+$I$1)^A6</f>
        <v>187425</v>
      </c>
      <c r="G6" s="12">
        <f t="shared" ref="G6:G8" si="4">F6-D6</f>
        <v>62425</v>
      </c>
      <c r="H6" s="12">
        <f t="shared" ref="H6:H8" si="5">G6*$B$1</f>
        <v>24970</v>
      </c>
      <c r="I6" s="12">
        <f t="shared" ref="I6:I8" si="6">G6-H6</f>
        <v>37455</v>
      </c>
      <c r="J6" s="12">
        <f t="shared" ref="J6:J8" si="7">I6-E5*$L$1</f>
        <v>-28545</v>
      </c>
      <c r="K6" s="12">
        <f t="shared" ref="K6:K8" si="8">J6/(1+$I$1)^A6</f>
        <v>-25891.156462585033</v>
      </c>
      <c r="L6" s="12">
        <f t="shared" ref="L6:L8" si="9">F6-H6</f>
        <v>162455</v>
      </c>
      <c r="M6" s="12">
        <f t="shared" si="0"/>
        <v>147351.47392290249</v>
      </c>
      <c r="N6" s="9"/>
    </row>
    <row r="7" spans="1:14">
      <c r="A7" s="7">
        <v>3</v>
      </c>
      <c r="B7" s="12"/>
      <c r="C7" s="12">
        <v>170000</v>
      </c>
      <c r="D7" s="12">
        <f t="shared" si="1"/>
        <v>125000</v>
      </c>
      <c r="E7" s="12">
        <f t="shared" si="2"/>
        <v>125000</v>
      </c>
      <c r="F7" s="12">
        <f t="shared" si="3"/>
        <v>196796.25000000003</v>
      </c>
      <c r="G7" s="12">
        <f t="shared" si="4"/>
        <v>71796.250000000029</v>
      </c>
      <c r="H7" s="12">
        <f t="shared" si="5"/>
        <v>28718.500000000015</v>
      </c>
      <c r="I7" s="12">
        <f t="shared" si="6"/>
        <v>43077.750000000015</v>
      </c>
      <c r="J7" s="12">
        <f t="shared" si="7"/>
        <v>-922.24999999998545</v>
      </c>
      <c r="K7" s="12">
        <f t="shared" si="8"/>
        <v>-796.6742252456412</v>
      </c>
      <c r="L7" s="12">
        <f t="shared" si="9"/>
        <v>168077.75</v>
      </c>
      <c r="M7" s="12">
        <f t="shared" si="0"/>
        <v>145191.87992657378</v>
      </c>
      <c r="N7" s="9"/>
    </row>
    <row r="8" spans="1:14">
      <c r="A8" s="7">
        <v>4</v>
      </c>
      <c r="B8" s="12"/>
      <c r="C8" s="12">
        <v>170000</v>
      </c>
      <c r="D8" s="12">
        <f t="shared" si="1"/>
        <v>125000</v>
      </c>
      <c r="E8" s="12">
        <f t="shared" si="2"/>
        <v>0</v>
      </c>
      <c r="F8" s="12">
        <f t="shared" si="3"/>
        <v>206636.0625</v>
      </c>
      <c r="G8" s="12">
        <f t="shared" si="4"/>
        <v>81636.0625</v>
      </c>
      <c r="H8" s="12">
        <f t="shared" si="5"/>
        <v>32654.425000000003</v>
      </c>
      <c r="I8" s="12">
        <f t="shared" si="6"/>
        <v>48981.637499999997</v>
      </c>
      <c r="J8" s="12">
        <f t="shared" si="7"/>
        <v>26981.637499999997</v>
      </c>
      <c r="K8" s="12">
        <f t="shared" si="8"/>
        <v>22197.859945187443</v>
      </c>
      <c r="L8" s="12">
        <f t="shared" si="9"/>
        <v>173981.63750000001</v>
      </c>
      <c r="M8" s="12">
        <f t="shared" si="0"/>
        <v>143135.1237395941</v>
      </c>
      <c r="N8" s="9"/>
    </row>
    <row r="9" spans="1:14">
      <c r="A9" s="7"/>
      <c r="B9" s="8"/>
      <c r="C9" s="8"/>
      <c r="D9" s="8"/>
      <c r="E9" s="8"/>
      <c r="F9" s="8"/>
      <c r="G9" s="8"/>
      <c r="H9" s="8"/>
      <c r="I9" s="8"/>
      <c r="J9" s="12">
        <f>NPV($L$1,J5:J8)+J4</f>
        <v>-54634.200700537294</v>
      </c>
      <c r="K9" s="12">
        <f>NPV($E$1,K5:K8)+K4</f>
        <v>-54634.200700537302</v>
      </c>
      <c r="L9" s="12">
        <f>NPV($L$1,L5:L8)+L4</f>
        <v>-54634.200700537243</v>
      </c>
      <c r="M9" s="12">
        <f>NPV($E$1,M5:M8)+M4</f>
        <v>-54634.200700537476</v>
      </c>
      <c r="N9" s="14" t="s">
        <v>33</v>
      </c>
    </row>
    <row r="10" spans="1:14">
      <c r="A10" s="7"/>
      <c r="B10" s="8"/>
      <c r="C10" s="8"/>
      <c r="D10" s="8"/>
      <c r="E10" s="8"/>
      <c r="F10" s="8"/>
      <c r="G10" s="8"/>
      <c r="H10" s="8"/>
      <c r="I10" s="8"/>
      <c r="J10" s="19">
        <f>PMT($L$1,$A$8,-J9)</f>
        <v>-20151.86853369731</v>
      </c>
      <c r="K10" s="19">
        <f>PMT($E$1,$A$8,-K9)</f>
        <v>-17987.460270653326</v>
      </c>
      <c r="L10" s="19">
        <f>PMT($L$1,$A$8,-L9)</f>
        <v>-20151.868533697289</v>
      </c>
      <c r="M10" s="19">
        <f>PMT($E$1,$A$8,-M9)</f>
        <v>-17987.460270653381</v>
      </c>
      <c r="N10" s="14" t="s">
        <v>34</v>
      </c>
    </row>
    <row r="11" spans="1:14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</row>
    <row r="12" spans="1:14">
      <c r="A12" s="10" t="s">
        <v>35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</row>
    <row r="13" spans="1:14" s="1" customFormat="1">
      <c r="A13" s="7" t="s">
        <v>21</v>
      </c>
      <c r="B13" s="11" t="s">
        <v>22</v>
      </c>
      <c r="C13" s="11" t="s">
        <v>36</v>
      </c>
      <c r="D13" s="11" t="s">
        <v>24</v>
      </c>
      <c r="E13" s="11" t="s">
        <v>25</v>
      </c>
      <c r="F13" s="11" t="s">
        <v>37</v>
      </c>
      <c r="G13" s="11" t="s">
        <v>26</v>
      </c>
      <c r="H13" s="11" t="s">
        <v>27</v>
      </c>
      <c r="I13" s="11" t="s">
        <v>38</v>
      </c>
      <c r="J13" s="11" t="s">
        <v>41</v>
      </c>
      <c r="K13" s="11" t="s">
        <v>42</v>
      </c>
      <c r="L13" s="11" t="s">
        <v>39</v>
      </c>
      <c r="M13" s="11" t="s">
        <v>40</v>
      </c>
      <c r="N13" s="9"/>
    </row>
    <row r="14" spans="1:14">
      <c r="A14" s="7">
        <v>0</v>
      </c>
      <c r="B14" s="12">
        <v>1200000</v>
      </c>
      <c r="C14" s="12"/>
      <c r="D14" s="12"/>
      <c r="E14" s="12">
        <f>B14</f>
        <v>1200000</v>
      </c>
      <c r="F14" s="12"/>
      <c r="G14" s="12"/>
      <c r="H14" s="12"/>
      <c r="I14" s="12"/>
      <c r="J14" s="12"/>
      <c r="K14" s="12"/>
      <c r="L14" s="12">
        <f>-B14</f>
        <v>-1200000</v>
      </c>
      <c r="M14" s="12">
        <f>L14/(1+$I$1)^A14</f>
        <v>-1200000</v>
      </c>
      <c r="N14" s="9"/>
    </row>
    <row r="15" spans="1:14">
      <c r="A15" s="7">
        <v>1</v>
      </c>
      <c r="B15" s="12"/>
      <c r="C15" s="12">
        <v>600000</v>
      </c>
      <c r="D15" s="12">
        <f>B14/4</f>
        <v>300000</v>
      </c>
      <c r="E15" s="12">
        <f>E14-D15</f>
        <v>900000</v>
      </c>
      <c r="F15" s="12">
        <f>C15*(1+$I$1)^A15</f>
        <v>630000</v>
      </c>
      <c r="G15" s="12">
        <f>F15-D15</f>
        <v>330000</v>
      </c>
      <c r="H15" s="12">
        <f>G15*$B$1</f>
        <v>132000</v>
      </c>
      <c r="I15" s="12">
        <f>G15-H15</f>
        <v>198000</v>
      </c>
      <c r="J15" s="12">
        <f>I15-E14*$L$1</f>
        <v>-13200</v>
      </c>
      <c r="K15" s="12">
        <f>J15/(1+$I$1)^A15</f>
        <v>-12571.428571428571</v>
      </c>
      <c r="L15" s="12">
        <f>F15-H15</f>
        <v>498000</v>
      </c>
      <c r="M15" s="12">
        <f t="shared" ref="M15:M18" si="10">L15/(1+$I$1)^A15</f>
        <v>474285.71428571426</v>
      </c>
      <c r="N15" s="9"/>
    </row>
    <row r="16" spans="1:14">
      <c r="A16" s="7">
        <v>2</v>
      </c>
      <c r="B16" s="12"/>
      <c r="C16" s="12">
        <f>C15-100000</f>
        <v>500000</v>
      </c>
      <c r="D16" s="12">
        <f>D15</f>
        <v>300000</v>
      </c>
      <c r="E16" s="12">
        <f t="shared" ref="E16:E18" si="11">E15-D16</f>
        <v>600000</v>
      </c>
      <c r="F16" s="12">
        <f t="shared" ref="F16:F18" si="12">C16*(1+$I$1)^A16</f>
        <v>551250</v>
      </c>
      <c r="G16" s="12">
        <f t="shared" ref="G16:G18" si="13">F16-D16</f>
        <v>251250</v>
      </c>
      <c r="H16" s="12">
        <f t="shared" ref="H16:H18" si="14">G16*$B$1</f>
        <v>100500</v>
      </c>
      <c r="I16" s="12">
        <f t="shared" ref="I16:I18" si="15">G16-H16</f>
        <v>150750</v>
      </c>
      <c r="J16" s="12">
        <f t="shared" ref="J16:J18" si="16">I16-E15*$L$1</f>
        <v>-7650</v>
      </c>
      <c r="K16" s="12">
        <f t="shared" ref="K16:K18" si="17">J16/(1+$I$1)^A16</f>
        <v>-6938.775510204081</v>
      </c>
      <c r="L16" s="12">
        <f t="shared" ref="L16:L18" si="18">F16-H16</f>
        <v>450750</v>
      </c>
      <c r="M16" s="12">
        <f t="shared" si="10"/>
        <v>408843.53741496598</v>
      </c>
      <c r="N16" s="9"/>
    </row>
    <row r="17" spans="1:14">
      <c r="A17" s="7">
        <v>3</v>
      </c>
      <c r="B17" s="12"/>
      <c r="C17" s="12">
        <f t="shared" ref="C17:C18" si="19">C16-100000</f>
        <v>400000</v>
      </c>
      <c r="D17" s="12">
        <f t="shared" ref="D17:D18" si="20">D16</f>
        <v>300000</v>
      </c>
      <c r="E17" s="12">
        <f t="shared" si="11"/>
        <v>300000</v>
      </c>
      <c r="F17" s="12">
        <f t="shared" si="12"/>
        <v>463050.00000000006</v>
      </c>
      <c r="G17" s="12">
        <f t="shared" si="13"/>
        <v>163050.00000000006</v>
      </c>
      <c r="H17" s="12">
        <f t="shared" si="14"/>
        <v>65220.000000000029</v>
      </c>
      <c r="I17" s="12">
        <f t="shared" si="15"/>
        <v>97830.000000000029</v>
      </c>
      <c r="J17" s="12">
        <f t="shared" si="16"/>
        <v>-7769.9999999999709</v>
      </c>
      <c r="K17" s="12">
        <f t="shared" si="17"/>
        <v>-6712.0181405895437</v>
      </c>
      <c r="L17" s="12">
        <f t="shared" si="18"/>
        <v>397830</v>
      </c>
      <c r="M17" s="12">
        <f t="shared" si="10"/>
        <v>343660.51182377711</v>
      </c>
      <c r="N17" s="9"/>
    </row>
    <row r="18" spans="1:14">
      <c r="A18" s="7">
        <v>4</v>
      </c>
      <c r="B18" s="12"/>
      <c r="C18" s="12">
        <f t="shared" si="19"/>
        <v>300000</v>
      </c>
      <c r="D18" s="12">
        <f t="shared" si="20"/>
        <v>300000</v>
      </c>
      <c r="E18" s="12">
        <f t="shared" si="11"/>
        <v>0</v>
      </c>
      <c r="F18" s="12">
        <f t="shared" si="12"/>
        <v>364651.875</v>
      </c>
      <c r="G18" s="12">
        <f t="shared" si="13"/>
        <v>64651.875</v>
      </c>
      <c r="H18" s="12">
        <f t="shared" si="14"/>
        <v>25860.75</v>
      </c>
      <c r="I18" s="12">
        <f t="shared" si="15"/>
        <v>38791.125</v>
      </c>
      <c r="J18" s="12">
        <f t="shared" si="16"/>
        <v>-14008.875</v>
      </c>
      <c r="K18" s="12">
        <f t="shared" si="17"/>
        <v>-11525.136131550125</v>
      </c>
      <c r="L18" s="12">
        <f t="shared" si="18"/>
        <v>338791.125</v>
      </c>
      <c r="M18" s="12">
        <f t="shared" si="10"/>
        <v>278724.29697502585</v>
      </c>
      <c r="N18" s="9"/>
    </row>
    <row r="19" spans="1:14">
      <c r="A19" s="7"/>
      <c r="B19" s="12"/>
      <c r="C19" s="12"/>
      <c r="D19" s="12"/>
      <c r="E19" s="12"/>
      <c r="F19" s="12"/>
      <c r="G19" s="12"/>
      <c r="H19" s="12"/>
      <c r="I19" s="8"/>
      <c r="J19" s="12">
        <f>NPV($L$1,J15:J18)+J14</f>
        <v>-28857.953453467788</v>
      </c>
      <c r="K19" s="12">
        <f>NPV($E$1,K15:K18)+K14</f>
        <v>-28857.953453467773</v>
      </c>
      <c r="L19" s="12">
        <f>NPV($L$1,L15:L18)+L14</f>
        <v>-28857.953453467693</v>
      </c>
      <c r="M19" s="12">
        <f>NPV($E$1,M15:M18)+M14</f>
        <v>-28857.953453467926</v>
      </c>
      <c r="N19" s="14" t="s">
        <v>33</v>
      </c>
    </row>
    <row r="20" spans="1:14" ht="17.25" thickBot="1">
      <c r="A20" s="15"/>
      <c r="B20" s="20"/>
      <c r="C20" s="20"/>
      <c r="D20" s="20"/>
      <c r="E20" s="20"/>
      <c r="F20" s="20"/>
      <c r="G20" s="20"/>
      <c r="H20" s="20"/>
      <c r="I20" s="16"/>
      <c r="J20" s="21">
        <f>PMT($L$1,$A$8,-J19)</f>
        <v>-10644.279163767833</v>
      </c>
      <c r="K20" s="21">
        <f>PMT($E$1,$A$8,-K19)</f>
        <v>-9501.0320381882993</v>
      </c>
      <c r="L20" s="21">
        <f>PMT($L$1,$A$8,-L19)</f>
        <v>-10644.279163767798</v>
      </c>
      <c r="M20" s="21">
        <f>PMT($E$1,$A$8,-M19)</f>
        <v>-9501.0320381883503</v>
      </c>
      <c r="N20" s="18" t="s">
        <v>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EX_17_2</vt:lpstr>
      <vt:lpstr>EX17_10</vt:lpstr>
      <vt:lpstr>EVA Concept</vt:lpstr>
      <vt:lpstr>EVA Ex17_12&amp;Exercise17_66</vt:lpstr>
      <vt:lpstr>EVA Ex17_12 with 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ITISYIJY</cp:lastModifiedBy>
  <dcterms:created xsi:type="dcterms:W3CDTF">2018-11-27T04:52:04Z</dcterms:created>
  <dcterms:modified xsi:type="dcterms:W3CDTF">2022-05-26T15:03:26Z</dcterms:modified>
</cp:coreProperties>
</file>