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RSE\IT Investment\Text material\New contents\"/>
    </mc:Choice>
  </mc:AlternateContent>
  <bookViews>
    <workbookView xWindow="0" yWindow="0" windowWidth="15750" windowHeight="21255" activeTab="1"/>
  </bookViews>
  <sheets>
    <sheet name="Analysis" sheetId="3" r:id="rId1"/>
    <sheet name="concept" sheetId="4" r:id="rId2"/>
  </sheets>
  <calcPr calcId="162913"/>
</workbook>
</file>

<file path=xl/calcChain.xml><?xml version="1.0" encoding="utf-8"?>
<calcChain xmlns="http://schemas.openxmlformats.org/spreadsheetml/2006/main">
  <c r="H45" i="3" l="1"/>
  <c r="E32" i="3"/>
  <c r="E31" i="3"/>
  <c r="F31" i="3" s="1"/>
  <c r="E30" i="3"/>
  <c r="F30" i="3" s="1"/>
  <c r="D36" i="3"/>
  <c r="L8" i="3"/>
  <c r="I8" i="3"/>
  <c r="G8" i="3"/>
  <c r="E8" i="3"/>
  <c r="C8" i="3"/>
  <c r="L7" i="3"/>
  <c r="K7" i="3"/>
  <c r="J7" i="3" s="1"/>
  <c r="L6" i="3"/>
  <c r="K6" i="3"/>
  <c r="F6" i="3" s="1"/>
  <c r="L5" i="3"/>
  <c r="K5" i="3"/>
  <c r="J5" i="3" s="1"/>
  <c r="L4" i="3"/>
  <c r="K4" i="3"/>
  <c r="F4" i="3" s="1"/>
  <c r="H33" i="3"/>
  <c r="N32" i="3"/>
  <c r="M32" i="3"/>
  <c r="I32" i="3"/>
  <c r="G32" i="3"/>
  <c r="N31" i="3"/>
  <c r="M31" i="3"/>
  <c r="L31" i="3"/>
  <c r="K31" i="3"/>
  <c r="J31" i="3"/>
  <c r="I31" i="3"/>
  <c r="H31" i="3"/>
  <c r="G31" i="3"/>
  <c r="O30" i="3"/>
  <c r="N30" i="3"/>
  <c r="M30" i="3"/>
  <c r="L30" i="3"/>
  <c r="K30" i="3"/>
  <c r="J30" i="3"/>
  <c r="I30" i="3"/>
  <c r="H30" i="3"/>
  <c r="G30" i="3"/>
  <c r="O29" i="3"/>
  <c r="L29" i="3"/>
  <c r="K29" i="3"/>
  <c r="J29" i="3"/>
  <c r="I29" i="3"/>
  <c r="H29" i="3"/>
  <c r="H5" i="3" l="1"/>
  <c r="O5" i="3" s="1"/>
  <c r="F32" i="3"/>
  <c r="D37" i="3" s="1"/>
  <c r="D5" i="3"/>
  <c r="D4" i="3"/>
  <c r="H4" i="3"/>
  <c r="D7" i="3"/>
  <c r="H7" i="3"/>
  <c r="H6" i="3"/>
  <c r="J4" i="3"/>
  <c r="F5" i="3"/>
  <c r="J6" i="3"/>
  <c r="F7" i="3"/>
  <c r="D6" i="3"/>
  <c r="K8" i="3"/>
  <c r="F8" i="3" s="1"/>
  <c r="D33" i="3" l="1"/>
  <c r="C31" i="3"/>
  <c r="C23" i="3"/>
  <c r="D8" i="3"/>
  <c r="C32" i="3"/>
  <c r="C24" i="3"/>
  <c r="G33" i="3"/>
  <c r="G35" i="3" s="1"/>
  <c r="B46" i="3" s="1"/>
  <c r="E33" i="3"/>
  <c r="F33" i="3" s="1"/>
  <c r="H32" i="3"/>
  <c r="H35" i="3" s="1"/>
  <c r="B47" i="3" s="1"/>
  <c r="E34" i="3"/>
  <c r="F34" i="3" s="1"/>
  <c r="G34" i="3"/>
  <c r="L32" i="3"/>
  <c r="L35" i="3" s="1"/>
  <c r="N33" i="3"/>
  <c r="N35" i="3" s="1"/>
  <c r="K32" i="3"/>
  <c r="K35" i="3" s="1"/>
  <c r="M33" i="3"/>
  <c r="M35" i="3" s="1"/>
  <c r="B49" i="3" s="1"/>
  <c r="J32" i="3"/>
  <c r="J35" i="3" s="1"/>
  <c r="I33" i="3"/>
  <c r="I35" i="3" s="1"/>
  <c r="B48" i="3" s="1"/>
  <c r="C25" i="3"/>
  <c r="C33" i="3"/>
  <c r="C30" i="3"/>
  <c r="C22" i="3"/>
  <c r="J8" i="3"/>
  <c r="H8" i="3"/>
</calcChain>
</file>

<file path=xl/sharedStrings.xml><?xml version="1.0" encoding="utf-8"?>
<sst xmlns="http://schemas.openxmlformats.org/spreadsheetml/2006/main" count="66" uniqueCount="55">
  <si>
    <t>Total</t>
    <phoneticPr fontId="1" type="noConversion"/>
  </si>
  <si>
    <t>total</t>
    <phoneticPr fontId="1" type="noConversion"/>
  </si>
  <si>
    <t>%</t>
    <phoneticPr fontId="1" type="noConversion"/>
  </si>
  <si>
    <t>WTP(L)</t>
    <phoneticPr fontId="1" type="noConversion"/>
  </si>
  <si>
    <t>WTP(U)</t>
    <phoneticPr fontId="1" type="noConversion"/>
  </si>
  <si>
    <t>WTP(DP)</t>
    <phoneticPr fontId="1" type="noConversion"/>
  </si>
  <si>
    <t>var(WTP)</t>
    <phoneticPr fontId="1" type="noConversion"/>
  </si>
  <si>
    <t>CI</t>
    <phoneticPr fontId="1" type="noConversion"/>
  </si>
  <si>
    <t>35,188~58,958</t>
    <phoneticPr fontId="1" type="noConversion"/>
  </si>
  <si>
    <t>var(WTP(DP))</t>
    <phoneticPr fontId="1" type="noConversion"/>
  </si>
  <si>
    <t>var(WTP(U))</t>
    <phoneticPr fontId="1" type="noConversion"/>
  </si>
  <si>
    <t>var(WTP(L))</t>
    <phoneticPr fontId="1" type="noConversion"/>
  </si>
  <si>
    <t>Y-Y</t>
    <phoneticPr fontId="1" type="noConversion"/>
  </si>
  <si>
    <t>Y-N</t>
    <phoneticPr fontId="1" type="noConversion"/>
  </si>
  <si>
    <t>N-Y</t>
    <phoneticPr fontId="1" type="noConversion"/>
  </si>
  <si>
    <t>N-N</t>
    <phoneticPr fontId="1" type="noConversion"/>
  </si>
  <si>
    <t>y=-0.0000035x+0.4385</t>
    <phoneticPr fontId="1" type="noConversion"/>
  </si>
  <si>
    <t>x=20000 일때</t>
    <phoneticPr fontId="1" type="noConversion"/>
  </si>
  <si>
    <t>X</t>
    <phoneticPr fontId="1" type="noConversion"/>
  </si>
  <si>
    <t>X+Y+Z</t>
    <phoneticPr fontId="1" type="noConversion"/>
  </si>
  <si>
    <t>X+Y</t>
    <phoneticPr fontId="1" type="noConversion"/>
  </si>
  <si>
    <t>DP: Duffield and Patterson(1991)</t>
    <phoneticPr fontId="1" type="noConversion"/>
  </si>
  <si>
    <r>
      <t xml:space="preserve">0.5=-0.00010612x +1    </t>
    </r>
    <r>
      <rPr>
        <sz val="11"/>
        <color theme="1"/>
        <rFont val="맑은 고딕"/>
        <family val="3"/>
        <charset val="129"/>
      </rPr>
      <t>∴</t>
    </r>
    <r>
      <rPr>
        <sz val="11"/>
        <color theme="1"/>
        <rFont val="맑은 고딕"/>
        <family val="2"/>
        <charset val="129"/>
      </rPr>
      <t xml:space="preserve"> x=</t>
    </r>
    <phoneticPr fontId="1" type="noConversion"/>
  </si>
  <si>
    <t>X</t>
    <phoneticPr fontId="1" type="noConversion"/>
  </si>
  <si>
    <r>
      <t>p</t>
    </r>
    <r>
      <rPr>
        <i/>
        <vertAlign val="subscript"/>
        <sz val="14"/>
        <color theme="1"/>
        <rFont val="맑은 고딕"/>
        <family val="3"/>
        <charset val="129"/>
        <scheme val="minor"/>
      </rPr>
      <t>1</t>
    </r>
    <phoneticPr fontId="1" type="noConversion"/>
  </si>
  <si>
    <r>
      <t>p</t>
    </r>
    <r>
      <rPr>
        <i/>
        <vertAlign val="subscript"/>
        <sz val="14"/>
        <color theme="1"/>
        <rFont val="맑은 고딕"/>
        <family val="3"/>
        <charset val="129"/>
        <scheme val="minor"/>
      </rPr>
      <t>2</t>
    </r>
    <phoneticPr fontId="1" type="noConversion"/>
  </si>
  <si>
    <r>
      <t>A</t>
    </r>
    <r>
      <rPr>
        <i/>
        <vertAlign val="subscript"/>
        <sz val="14"/>
        <color theme="1"/>
        <rFont val="맑은 고딕"/>
        <family val="3"/>
        <charset val="129"/>
        <scheme val="minor"/>
      </rPr>
      <t>0</t>
    </r>
    <phoneticPr fontId="1" type="noConversion"/>
  </si>
  <si>
    <r>
      <t>A</t>
    </r>
    <r>
      <rPr>
        <i/>
        <vertAlign val="subscript"/>
        <sz val="14"/>
        <color theme="1"/>
        <rFont val="맑은 고딕"/>
        <family val="3"/>
        <charset val="129"/>
        <scheme val="minor"/>
      </rPr>
      <t>1</t>
    </r>
    <phoneticPr fontId="1" type="noConversion"/>
  </si>
  <si>
    <r>
      <t>A</t>
    </r>
    <r>
      <rPr>
        <i/>
        <vertAlign val="subscript"/>
        <sz val="14"/>
        <color theme="1"/>
        <rFont val="맑은 고딕"/>
        <family val="3"/>
        <charset val="129"/>
        <scheme val="minor"/>
      </rPr>
      <t>2</t>
    </r>
    <phoneticPr fontId="1" type="noConversion"/>
  </si>
  <si>
    <r>
      <t>A</t>
    </r>
    <r>
      <rPr>
        <i/>
        <vertAlign val="subscript"/>
        <sz val="14"/>
        <color theme="1"/>
        <rFont val="맑은 고딕"/>
        <family val="3"/>
        <charset val="129"/>
        <scheme val="minor"/>
      </rPr>
      <t>T</t>
    </r>
    <phoneticPr fontId="1" type="noConversion"/>
  </si>
  <si>
    <t xml:space="preserve">                Z
    Y</t>
    <phoneticPr fontId="1" type="noConversion"/>
  </si>
  <si>
    <t>Response Distribution of WTP</t>
    <phoneticPr fontId="1" type="noConversion"/>
  </si>
  <si>
    <t>Price</t>
    <phoneticPr fontId="1" type="noConversion"/>
  </si>
  <si>
    <t>Response</t>
    <phoneticPr fontId="1" type="noConversion"/>
  </si>
  <si>
    <t>Price(x)</t>
    <phoneticPr fontId="1" type="noConversion"/>
  </si>
  <si>
    <t>Acceptance Probability</t>
    <phoneticPr fontId="1" type="noConversion"/>
  </si>
  <si>
    <t>Area(WTP)</t>
    <phoneticPr fontId="1" type="noConversion"/>
  </si>
  <si>
    <t>b=y - ax</t>
    <phoneticPr fontId="1" type="noConversion"/>
  </si>
  <si>
    <t>Max. Price</t>
    <phoneticPr fontId="1" type="noConversion"/>
  </si>
  <si>
    <t>if y=0</t>
    <phoneticPr fontId="1" type="noConversion"/>
  </si>
  <si>
    <t>then, x=</t>
    <phoneticPr fontId="1" type="noConversion"/>
  </si>
  <si>
    <t>Revised Prob. 
Acceptance(y)</t>
    <phoneticPr fontId="1" type="noConversion"/>
  </si>
  <si>
    <t>(y)=ax+b
Accept. Prob.</t>
    <phoneticPr fontId="1" type="noConversion"/>
  </si>
  <si>
    <r>
      <t>a=</t>
    </r>
    <r>
      <rPr>
        <sz val="11"/>
        <color theme="1"/>
        <rFont val="맑은 고딕"/>
        <family val="3"/>
        <charset val="129"/>
      </rPr>
      <t>Δ</t>
    </r>
    <r>
      <rPr>
        <sz val="11"/>
        <color theme="1"/>
        <rFont val="맑은 고딕"/>
        <family val="2"/>
        <charset val="129"/>
        <scheme val="minor"/>
      </rPr>
      <t>y/Δx</t>
    </r>
    <phoneticPr fontId="1" type="noConversion"/>
  </si>
  <si>
    <t>Middle</t>
    <phoneticPr fontId="1" type="noConversion"/>
  </si>
  <si>
    <t>Lower</t>
    <phoneticPr fontId="1" type="noConversion"/>
  </si>
  <si>
    <t>Upper</t>
    <phoneticPr fontId="1" type="noConversion"/>
  </si>
  <si>
    <t>Middle</t>
    <phoneticPr fontId="1" type="noConversion"/>
  </si>
  <si>
    <t>CI
(95% sig. level)</t>
    <phoneticPr fontId="1" type="noConversion"/>
  </si>
  <si>
    <t>var. estimator</t>
    <phoneticPr fontId="1" type="noConversion"/>
  </si>
  <si>
    <r>
      <t>WTP estimation by non-parametric est. (Unit:</t>
    </r>
    <r>
      <rPr>
        <sz val="11"/>
        <color theme="1"/>
        <rFont val="맑은 고딕"/>
        <family val="3"/>
        <charset val="129"/>
      </rPr>
      <t>₩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</si>
  <si>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t>Median</t>
    <phoneticPr fontId="1" type="noConversion"/>
  </si>
  <si>
    <t>Mean</t>
    <phoneticPr fontId="1" type="noConversion"/>
  </si>
  <si>
    <t>(y = -0.0001061200x + 1 , if y=0.5 then x=)</t>
    <phoneticPr fontId="1" type="noConversion"/>
  </si>
  <si>
    <t>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</si>
</sst>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00000000_ "/>
    <numFmt numFmtId="177" formatCode="0.0000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4"/>
      <color theme="1"/>
      <name val="맑은 고딕"/>
      <family val="2"/>
      <charset val="129"/>
      <scheme val="minor"/>
    </font>
    <font>
      <i/>
      <sz val="14"/>
      <color theme="1"/>
      <name val="맑은 고딕"/>
      <family val="3"/>
      <charset val="129"/>
      <scheme val="minor"/>
    </font>
    <font>
      <i/>
      <vertAlign val="subscript"/>
      <sz val="14"/>
      <color theme="1"/>
      <name val="맑은 고딕"/>
      <family val="3"/>
      <charset val="129"/>
      <scheme val="minor"/>
    </font>
    <font>
      <b/>
      <sz val="16"/>
      <color theme="1"/>
      <name val="Adobe 명조 Std M"/>
      <family val="1"/>
      <charset val="129"/>
    </font>
    <font>
      <sz val="11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ck">
        <color indexed="64"/>
      </diagonal>
    </border>
    <border diagonalDown="1">
      <left style="thin">
        <color indexed="64"/>
      </left>
      <right/>
      <top style="thin">
        <color indexed="64"/>
      </top>
      <bottom/>
      <diagonal style="thick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ck">
        <color indexed="64"/>
      </diagonal>
    </border>
    <border diagonalDown="1">
      <left style="thin">
        <color indexed="64"/>
      </left>
      <right/>
      <top/>
      <bottom/>
      <diagonal style="thick">
        <color indexed="64"/>
      </diagonal>
    </border>
    <border diagonalDown="1">
      <left/>
      <right style="thin">
        <color indexed="64"/>
      </right>
      <top/>
      <bottom/>
      <diagonal style="thick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ck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ck">
        <color indexed="64"/>
      </diagonal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7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3" fontId="0" fillId="3" borderId="1" xfId="0" applyNumberFormat="1" applyFill="1" applyBorder="1">
      <alignment vertical="center"/>
    </xf>
    <xf numFmtId="3" fontId="0" fillId="4" borderId="1" xfId="0" applyNumberFormat="1" applyFill="1" applyBorder="1">
      <alignment vertical="center"/>
    </xf>
    <xf numFmtId="3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7" borderId="0" xfId="0" applyFill="1">
      <alignment vertical="center"/>
    </xf>
    <xf numFmtId="176" fontId="0" fillId="7" borderId="7" xfId="0" applyNumberFormat="1" applyFill="1" applyBorder="1">
      <alignment vertical="center"/>
    </xf>
    <xf numFmtId="176" fontId="0" fillId="7" borderId="8" xfId="0" applyNumberForma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4" borderId="9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0" xfId="0" applyFill="1" applyBorder="1">
      <alignment vertical="center"/>
    </xf>
    <xf numFmtId="3" fontId="2" fillId="3" borderId="1" xfId="0" applyNumberFormat="1" applyFont="1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177" fontId="0" fillId="0" borderId="8" xfId="0" applyNumberFormat="1" applyBorder="1">
      <alignment vertical="center"/>
    </xf>
    <xf numFmtId="177" fontId="0" fillId="7" borderId="8" xfId="0" applyNumberFormat="1" applyFill="1" applyBorder="1">
      <alignment vertical="center"/>
    </xf>
    <xf numFmtId="0" fontId="2" fillId="6" borderId="9" xfId="0" applyFont="1" applyFill="1" applyBorder="1">
      <alignment vertical="center"/>
    </xf>
    <xf numFmtId="177" fontId="0" fillId="0" borderId="14" xfId="0" applyNumberFormat="1" applyBorder="1">
      <alignment vertical="center"/>
    </xf>
    <xf numFmtId="177" fontId="0" fillId="0" borderId="10" xfId="0" applyNumberFormat="1" applyBorder="1">
      <alignment vertical="center"/>
    </xf>
    <xf numFmtId="0" fontId="0" fillId="0" borderId="20" xfId="0" applyBorder="1">
      <alignment vertical="center"/>
    </xf>
    <xf numFmtId="0" fontId="5" fillId="0" borderId="4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0" fillId="2" borderId="2" xfId="1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2" borderId="2" xfId="1" applyFont="1" applyFill="1" applyBorder="1">
      <alignment vertical="center"/>
    </xf>
    <xf numFmtId="41" fontId="0" fillId="0" borderId="1" xfId="1" applyFont="1" applyBorder="1">
      <alignment vertical="center"/>
    </xf>
    <xf numFmtId="41" fontId="0" fillId="0" borderId="8" xfId="1" applyFont="1" applyBorder="1">
      <alignment vertical="center"/>
    </xf>
    <xf numFmtId="41" fontId="2" fillId="2" borderId="9" xfId="1" applyFont="1" applyFill="1" applyBorder="1">
      <alignment vertical="center"/>
    </xf>
    <xf numFmtId="41" fontId="0" fillId="3" borderId="14" xfId="1" applyFont="1" applyFill="1" applyBorder="1">
      <alignment vertical="center"/>
    </xf>
    <xf numFmtId="41" fontId="0" fillId="3" borderId="10" xfId="1" applyFont="1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right" vertical="center"/>
    </xf>
    <xf numFmtId="0" fontId="5" fillId="0" borderId="2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</xdr:colOff>
      <xdr:row>36</xdr:row>
      <xdr:rowOff>30481</xdr:rowOff>
    </xdr:from>
    <xdr:to>
      <xdr:col>14</xdr:col>
      <xdr:colOff>112772</xdr:colOff>
      <xdr:row>44</xdr:row>
      <xdr:rowOff>193127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7340" y="8016241"/>
          <a:ext cx="3734177" cy="193048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5</xdr:col>
      <xdr:colOff>175260</xdr:colOff>
      <xdr:row>20</xdr:row>
      <xdr:rowOff>53340</xdr:rowOff>
    </xdr:to>
    <xdr:pic>
      <xdr:nvPicPr>
        <xdr:cNvPr id="3" name="_x228382696" descr="EMB0000080843d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0"/>
          <a:ext cx="4015740" cy="248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</xdr:colOff>
      <xdr:row>9</xdr:row>
      <xdr:rowOff>0</xdr:rowOff>
    </xdr:from>
    <xdr:to>
      <xdr:col>10</xdr:col>
      <xdr:colOff>175262</xdr:colOff>
      <xdr:row>20</xdr:row>
      <xdr:rowOff>22860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6901" y="1988820"/>
          <a:ext cx="3680461" cy="245364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952500</xdr:colOff>
      <xdr:row>9</xdr:row>
      <xdr:rowOff>22860</xdr:rowOff>
    </xdr:from>
    <xdr:to>
      <xdr:col>16</xdr:col>
      <xdr:colOff>116205</xdr:colOff>
      <xdr:row>19</xdr:row>
      <xdr:rowOff>175260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9360" y="2011680"/>
          <a:ext cx="533400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H40" sqref="H40"/>
    </sheetView>
  </sheetViews>
  <sheetFormatPr defaultRowHeight="16.5"/>
  <cols>
    <col min="1" max="1" width="13.5" customWidth="1"/>
    <col min="3" max="3" width="13.375" bestFit="1" customWidth="1"/>
    <col min="4" max="4" width="13.75" bestFit="1" customWidth="1"/>
    <col min="5" max="5" width="17.75" bestFit="1" customWidth="1"/>
    <col min="6" max="6" width="15.25" bestFit="1" customWidth="1"/>
    <col min="7" max="7" width="11.5" bestFit="1" customWidth="1"/>
    <col min="8" max="8" width="12.125" customWidth="1"/>
    <col min="10" max="11" width="13.625" customWidth="1"/>
    <col min="12" max="12" width="12.625" bestFit="1" customWidth="1"/>
    <col min="14" max="14" width="13.125" bestFit="1" customWidth="1"/>
    <col min="15" max="15" width="20.5" customWidth="1"/>
    <col min="16" max="17" width="12.625" bestFit="1" customWidth="1"/>
  </cols>
  <sheetData>
    <row r="1" spans="2:15">
      <c r="B1" t="s">
        <v>31</v>
      </c>
    </row>
    <row r="2" spans="2:15">
      <c r="B2" s="51" t="s">
        <v>32</v>
      </c>
      <c r="C2" s="52" t="s">
        <v>33</v>
      </c>
      <c r="D2" s="52"/>
      <c r="E2" s="52"/>
      <c r="F2" s="52"/>
      <c r="G2" s="52"/>
      <c r="H2" s="52"/>
      <c r="I2" s="52"/>
      <c r="J2" s="52"/>
      <c r="K2" s="52"/>
      <c r="L2" s="52"/>
    </row>
    <row r="3" spans="2:15">
      <c r="B3" s="52"/>
      <c r="C3" s="5" t="s">
        <v>12</v>
      </c>
      <c r="D3" s="5" t="s">
        <v>2</v>
      </c>
      <c r="E3" s="5" t="s">
        <v>13</v>
      </c>
      <c r="F3" s="5" t="s">
        <v>2</v>
      </c>
      <c r="G3" s="5" t="s">
        <v>14</v>
      </c>
      <c r="H3" s="5" t="s">
        <v>2</v>
      </c>
      <c r="I3" s="5" t="s">
        <v>15</v>
      </c>
      <c r="J3" s="5" t="s">
        <v>2</v>
      </c>
      <c r="K3" s="5" t="s">
        <v>1</v>
      </c>
      <c r="L3" s="5" t="s">
        <v>2</v>
      </c>
    </row>
    <row r="4" spans="2:15">
      <c r="B4" s="1">
        <v>5000</v>
      </c>
      <c r="C4" s="1">
        <v>15</v>
      </c>
      <c r="D4" s="3">
        <f>ROUND(C4/K4*100,2)</f>
        <v>30.61</v>
      </c>
      <c r="E4" s="1">
        <v>8</v>
      </c>
      <c r="F4" s="3">
        <f>ROUND(E4/K4*100,2)</f>
        <v>16.329999999999998</v>
      </c>
      <c r="G4" s="1">
        <v>3</v>
      </c>
      <c r="H4" s="1">
        <f>G4/K4*100</f>
        <v>6.1224489795918364</v>
      </c>
      <c r="I4" s="1">
        <v>23</v>
      </c>
      <c r="J4" s="1">
        <f>ROUND(I4/K4*100,2)</f>
        <v>46.94</v>
      </c>
      <c r="K4" s="1">
        <f>SUM(C4,E4,G4,I4)</f>
        <v>49</v>
      </c>
      <c r="L4" s="1">
        <f>100</f>
        <v>100</v>
      </c>
    </row>
    <row r="5" spans="2:15">
      <c r="B5" s="1">
        <v>10000</v>
      </c>
      <c r="C5" s="1">
        <v>13</v>
      </c>
      <c r="D5" s="3">
        <f t="shared" ref="D5:D7" si="0">ROUND(C5/K5*100,2)</f>
        <v>22.81</v>
      </c>
      <c r="E5" s="1">
        <v>10</v>
      </c>
      <c r="F5" s="3">
        <f t="shared" ref="F5:F8" si="1">ROUND(E5/K5*100,2)</f>
        <v>17.54</v>
      </c>
      <c r="G5" s="1">
        <v>14</v>
      </c>
      <c r="H5" s="1">
        <f t="shared" ref="H5:H7" si="2">G5/K5*100</f>
        <v>24.561403508771928</v>
      </c>
      <c r="I5" s="1">
        <v>20</v>
      </c>
      <c r="J5" s="1">
        <f t="shared" ref="J5:J8" si="3">ROUND(I5/K5*100,2)</f>
        <v>35.090000000000003</v>
      </c>
      <c r="K5" s="1">
        <f t="shared" ref="K5:K8" si="4">SUM(C5,E5,G5,I5)</f>
        <v>57</v>
      </c>
      <c r="L5" s="1">
        <f>100</f>
        <v>100</v>
      </c>
      <c r="O5">
        <f>H5+F4</f>
        <v>40.89140350877193</v>
      </c>
    </row>
    <row r="6" spans="2:15">
      <c r="B6" s="1">
        <v>15000</v>
      </c>
      <c r="C6" s="1">
        <v>8</v>
      </c>
      <c r="D6" s="3">
        <f t="shared" si="0"/>
        <v>14.04</v>
      </c>
      <c r="E6" s="1">
        <v>14</v>
      </c>
      <c r="F6" s="3">
        <f t="shared" si="1"/>
        <v>24.56</v>
      </c>
      <c r="G6" s="1">
        <v>8</v>
      </c>
      <c r="H6" s="1">
        <f t="shared" si="2"/>
        <v>14.035087719298245</v>
      </c>
      <c r="I6" s="1">
        <v>27</v>
      </c>
      <c r="J6" s="1">
        <f t="shared" si="3"/>
        <v>47.37</v>
      </c>
      <c r="K6" s="1">
        <f t="shared" si="4"/>
        <v>57</v>
      </c>
      <c r="L6" s="1">
        <f>100</f>
        <v>100</v>
      </c>
    </row>
    <row r="7" spans="2:15">
      <c r="B7" s="1">
        <v>20000</v>
      </c>
      <c r="C7" s="1">
        <v>13</v>
      </c>
      <c r="D7" s="3">
        <f t="shared" si="0"/>
        <v>25</v>
      </c>
      <c r="E7" s="1">
        <v>9</v>
      </c>
      <c r="F7" s="3">
        <f t="shared" si="1"/>
        <v>17.309999999999999</v>
      </c>
      <c r="G7" s="1">
        <v>7</v>
      </c>
      <c r="H7" s="1">
        <f t="shared" si="2"/>
        <v>13.461538461538462</v>
      </c>
      <c r="I7" s="1">
        <v>23</v>
      </c>
      <c r="J7" s="1">
        <f t="shared" si="3"/>
        <v>44.23</v>
      </c>
      <c r="K7" s="1">
        <f t="shared" si="4"/>
        <v>52</v>
      </c>
      <c r="L7" s="1">
        <f>100</f>
        <v>100</v>
      </c>
    </row>
    <row r="8" spans="2:15">
      <c r="B8" s="5" t="s">
        <v>0</v>
      </c>
      <c r="C8" s="1">
        <f>SUM(C4:C7)</f>
        <v>49</v>
      </c>
      <c r="D8" s="1">
        <f>ROUND(C8/K8*100,2)</f>
        <v>22.79</v>
      </c>
      <c r="E8" s="1">
        <f>SUM(E4:E7)</f>
        <v>41</v>
      </c>
      <c r="F8" s="1">
        <f t="shared" si="1"/>
        <v>19.07</v>
      </c>
      <c r="G8" s="1">
        <f>SUM(G4:G7)</f>
        <v>32</v>
      </c>
      <c r="H8" s="1">
        <f>G8/K8*100</f>
        <v>14.883720930232558</v>
      </c>
      <c r="I8" s="2">
        <f>SUM(I4:I7)</f>
        <v>93</v>
      </c>
      <c r="J8" s="1">
        <f t="shared" si="3"/>
        <v>43.26</v>
      </c>
      <c r="K8" s="3">
        <f t="shared" si="4"/>
        <v>215</v>
      </c>
      <c r="L8" s="1">
        <f>100</f>
        <v>100</v>
      </c>
    </row>
    <row r="22" spans="2:15">
      <c r="C22">
        <f>D4+F4</f>
        <v>46.94</v>
      </c>
      <c r="G22" s="5" t="s">
        <v>44</v>
      </c>
      <c r="H22" s="1" t="s">
        <v>20</v>
      </c>
    </row>
    <row r="23" spans="2:15">
      <c r="C23">
        <f>D5+F5</f>
        <v>40.349999999999994</v>
      </c>
      <c r="G23" s="5" t="s">
        <v>45</v>
      </c>
      <c r="H23" s="1" t="s">
        <v>18</v>
      </c>
    </row>
    <row r="24" spans="2:15">
      <c r="C24">
        <f>D6+F6</f>
        <v>38.599999999999994</v>
      </c>
      <c r="G24" s="5" t="s">
        <v>46</v>
      </c>
      <c r="H24" s="1" t="s">
        <v>19</v>
      </c>
    </row>
    <row r="25" spans="2:15">
      <c r="C25">
        <f>D7+F7</f>
        <v>42.31</v>
      </c>
    </row>
    <row r="26" spans="2:15" ht="17.25" thickBot="1">
      <c r="M26" t="s">
        <v>21</v>
      </c>
    </row>
    <row r="27" spans="2:15" ht="17.45" customHeight="1">
      <c r="B27" s="59" t="s">
        <v>34</v>
      </c>
      <c r="C27" s="61" t="s">
        <v>42</v>
      </c>
      <c r="D27" s="63" t="s">
        <v>41</v>
      </c>
      <c r="E27" s="65" t="s">
        <v>43</v>
      </c>
      <c r="F27" s="67" t="s">
        <v>37</v>
      </c>
      <c r="G27" s="69" t="s">
        <v>36</v>
      </c>
      <c r="H27" s="69"/>
      <c r="I27" s="70"/>
      <c r="J27" s="71" t="s">
        <v>6</v>
      </c>
      <c r="K27" s="69"/>
      <c r="L27" s="70"/>
      <c r="M27" s="53" t="s">
        <v>5</v>
      </c>
      <c r="N27" s="55" t="s">
        <v>49</v>
      </c>
      <c r="O27" s="57" t="s">
        <v>48</v>
      </c>
    </row>
    <row r="28" spans="2:15">
      <c r="B28" s="60"/>
      <c r="C28" s="62"/>
      <c r="D28" s="64"/>
      <c r="E28" s="66"/>
      <c r="F28" s="68"/>
      <c r="G28" s="42" t="s">
        <v>47</v>
      </c>
      <c r="H28" s="43" t="s">
        <v>45</v>
      </c>
      <c r="I28" s="44" t="s">
        <v>46</v>
      </c>
      <c r="J28" s="9" t="s">
        <v>47</v>
      </c>
      <c r="K28" s="40" t="s">
        <v>45</v>
      </c>
      <c r="L28" s="41" t="s">
        <v>46</v>
      </c>
      <c r="M28" s="54"/>
      <c r="N28" s="56"/>
      <c r="O28" s="58"/>
    </row>
    <row r="29" spans="2:15">
      <c r="B29" s="21">
        <v>0</v>
      </c>
      <c r="C29" s="1">
        <v>1</v>
      </c>
      <c r="D29" s="23">
        <v>1</v>
      </c>
      <c r="E29" s="14"/>
      <c r="F29" s="15"/>
      <c r="G29" s="45"/>
      <c r="H29" s="46">
        <f>(B30-B29)*D30</f>
        <v>2347</v>
      </c>
      <c r="I29" s="47">
        <f>(B30-B29)*D29</f>
        <v>5000</v>
      </c>
      <c r="J29" s="22">
        <f>(B30-29057)^2*(D29-D30)</f>
        <v>307079045.5194</v>
      </c>
      <c r="K29" s="1">
        <f>(B30-8137)^2*(D29-D30)</f>
        <v>5221512.0313999997</v>
      </c>
      <c r="L29" s="23">
        <f>(B30-49977)^2*(D29-D30)</f>
        <v>1073366938.6873999</v>
      </c>
      <c r="M29" s="22"/>
      <c r="N29" s="23"/>
      <c r="O29" s="6">
        <f>47073-1.96*(52206751)^0.5</f>
        <v>32911.169092889155</v>
      </c>
    </row>
    <row r="30" spans="2:15">
      <c r="B30" s="22">
        <v>5000</v>
      </c>
      <c r="C30" s="8">
        <f>(D4+F4)/100</f>
        <v>0.46939999999999998</v>
      </c>
      <c r="D30" s="30">
        <v>0.46939999999999998</v>
      </c>
      <c r="E30" s="14">
        <f>(D30-D29)/(B30-B29)</f>
        <v>-1.0611999999999999E-4</v>
      </c>
      <c r="F30" s="15">
        <f>D30-(E30*B30)</f>
        <v>1</v>
      </c>
      <c r="G30" s="45">
        <f>(B30-B29)*D30+0.5*(B30-B29)*(D29-D30)</f>
        <v>3673.5</v>
      </c>
      <c r="H30" s="46">
        <f>(B31-B30)*D31</f>
        <v>2017.5000000000002</v>
      </c>
      <c r="I30" s="47">
        <f t="shared" ref="I30:I33" si="5">(B31-B30)*D30</f>
        <v>2347</v>
      </c>
      <c r="J30" s="22">
        <f t="shared" ref="J30:J32" si="6">(B31-29057)^2*(D30-D31)</f>
        <v>23932853.509099986</v>
      </c>
      <c r="K30" s="1">
        <f t="shared" ref="K30:K32" si="7">(B31-8137)^2*(D30-D31)</f>
        <v>228723.67709999986</v>
      </c>
      <c r="L30" s="23">
        <f t="shared" ref="L30:L32" si="8">(B31-49977)^2*(D30-D31)</f>
        <v>105318778.86109993</v>
      </c>
      <c r="M30" s="22">
        <f>(B30+(B31-B30)/2)*D30</f>
        <v>3520.5</v>
      </c>
      <c r="N30" s="23">
        <f>(B30+(B31-B30)/2)^2*D30*(1-D30)/49</f>
        <v>285914.89285714284</v>
      </c>
      <c r="O30" s="6">
        <f>47073+1.96*(52206751)^0.5</f>
        <v>61234.830907110845</v>
      </c>
    </row>
    <row r="31" spans="2:15">
      <c r="B31" s="22">
        <v>10000</v>
      </c>
      <c r="C31" s="8">
        <f t="shared" ref="C31:C33" si="9">(D5+F5)/100</f>
        <v>0.40349999999999997</v>
      </c>
      <c r="D31" s="30">
        <v>0.40350000000000003</v>
      </c>
      <c r="E31" s="14">
        <f>(D31-D30)/(B31-B30)</f>
        <v>-1.3179999999999992E-5</v>
      </c>
      <c r="F31" s="15">
        <f t="shared" ref="F31:F34" si="10">D31-(E31*B31)</f>
        <v>0.53529999999999989</v>
      </c>
      <c r="G31" s="45">
        <f t="shared" ref="G31:G34" si="11">(B31-B30)*D31+0.5*(B31-B30)*(D30-D31)</f>
        <v>2182.25</v>
      </c>
      <c r="H31" s="46">
        <f t="shared" ref="H31:H33" si="12">(B32-B31)*D32</f>
        <v>1930</v>
      </c>
      <c r="I31" s="47">
        <f t="shared" si="5"/>
        <v>2017.5000000000002</v>
      </c>
      <c r="J31" s="22">
        <f>(B32-29057)^2*(D31-D32)</f>
        <v>3457986.8575000032</v>
      </c>
      <c r="K31" s="1">
        <f t="shared" si="7"/>
        <v>824263.45750000072</v>
      </c>
      <c r="L31" s="23">
        <f t="shared" si="8"/>
        <v>21409334.257500019</v>
      </c>
      <c r="M31" s="22">
        <f>((B32-B30)/2)*D31</f>
        <v>2017.5000000000002</v>
      </c>
      <c r="N31" s="23">
        <f>((B32-B30)/2)^2*D31*(1-D31)/57</f>
        <v>105564.80263157895</v>
      </c>
    </row>
    <row r="32" spans="2:15">
      <c r="B32" s="22">
        <v>15000</v>
      </c>
      <c r="C32" s="8">
        <f t="shared" si="9"/>
        <v>0.38599999999999995</v>
      </c>
      <c r="D32" s="30">
        <v>0.38600000000000001</v>
      </c>
      <c r="E32" s="19">
        <f>(D32-D31)/(B32-B31)</f>
        <v>-3.5000000000000029E-6</v>
      </c>
      <c r="F32" s="20">
        <f t="shared" si="10"/>
        <v>0.43850000000000006</v>
      </c>
      <c r="G32" s="45">
        <f t="shared" si="11"/>
        <v>1973.75</v>
      </c>
      <c r="H32" s="46">
        <f t="shared" si="12"/>
        <v>1842.5</v>
      </c>
      <c r="I32" s="47">
        <f t="shared" si="5"/>
        <v>1930</v>
      </c>
      <c r="J32" s="22">
        <f t="shared" si="6"/>
        <v>1435511.8575000013</v>
      </c>
      <c r="K32" s="1">
        <f t="shared" si="7"/>
        <v>2462788.4575000023</v>
      </c>
      <c r="L32" s="23">
        <f t="shared" si="8"/>
        <v>15725859.257500013</v>
      </c>
      <c r="M32" s="22">
        <f>((B33-B31)/2)*D32</f>
        <v>1930</v>
      </c>
      <c r="N32" s="23">
        <f>((B33-B31)/2)^2*D32*(1-D32)/57</f>
        <v>103949.12280701754</v>
      </c>
    </row>
    <row r="33" spans="1:14">
      <c r="B33" s="22">
        <v>20000</v>
      </c>
      <c r="C33" s="8">
        <f t="shared" si="9"/>
        <v>0.42310000000000003</v>
      </c>
      <c r="D33" s="31">
        <f>E32*B33+F32</f>
        <v>0.36849999999999999</v>
      </c>
      <c r="E33" s="14">
        <f>(D33-D32)/(B33-B32)</f>
        <v>-3.5000000000000029E-6</v>
      </c>
      <c r="F33" s="15">
        <f t="shared" si="10"/>
        <v>0.43850000000000006</v>
      </c>
      <c r="G33" s="45">
        <f t="shared" si="11"/>
        <v>1886.25</v>
      </c>
      <c r="H33" s="46">
        <f t="shared" si="12"/>
        <v>0</v>
      </c>
      <c r="I33" s="47">
        <f t="shared" si="5"/>
        <v>38692.5</v>
      </c>
      <c r="J33" s="22"/>
      <c r="K33" s="1"/>
      <c r="L33" s="23"/>
      <c r="M33" s="22">
        <f>((B33-B32)/2+(125000-20000))*D33</f>
        <v>39613.75</v>
      </c>
      <c r="N33" s="23">
        <f>((B33-B32)/2+(125000-20000))^2*D33*(1-D33)/52</f>
        <v>51715941.075721152</v>
      </c>
    </row>
    <row r="34" spans="1:14" ht="17.25" thickBot="1">
      <c r="B34" s="32">
        <v>125000</v>
      </c>
      <c r="C34" s="33">
        <v>0</v>
      </c>
      <c r="D34" s="34">
        <v>0</v>
      </c>
      <c r="E34" s="16">
        <f>(D34-D33)/(B34-B33)</f>
        <v>-3.5095238095238093E-6</v>
      </c>
      <c r="F34" s="17">
        <f t="shared" si="10"/>
        <v>0.43869047619047619</v>
      </c>
      <c r="G34" s="45">
        <f t="shared" si="11"/>
        <v>19346.25</v>
      </c>
      <c r="H34" s="46"/>
      <c r="I34" s="47"/>
      <c r="J34" s="22"/>
      <c r="K34" s="1"/>
      <c r="L34" s="23"/>
      <c r="M34" s="22"/>
      <c r="N34" s="23"/>
    </row>
    <row r="35" spans="1:14" ht="17.25" thickBot="1">
      <c r="B35" s="18" t="s">
        <v>16</v>
      </c>
      <c r="C35" s="18"/>
      <c r="G35" s="48">
        <f>SUM(G30:G34)</f>
        <v>29062</v>
      </c>
      <c r="H35" s="49">
        <f>SUM(H29:H34)</f>
        <v>8137</v>
      </c>
      <c r="I35" s="50">
        <f>SUM(I29:I34)</f>
        <v>49987</v>
      </c>
      <c r="J35" s="24">
        <f>SUM(J29:J33)/215</f>
        <v>1562350.6871790697</v>
      </c>
      <c r="K35" s="25">
        <f>SUM(K29:K33)/215</f>
        <v>40638.547086046521</v>
      </c>
      <c r="L35" s="26">
        <f>SUM(L29:L33)/215</f>
        <v>5654980.9816906964</v>
      </c>
      <c r="M35" s="28">
        <f>SUM(M29:M34)</f>
        <v>47081.75</v>
      </c>
      <c r="N35" s="29">
        <f>SUM(N30:N33)</f>
        <v>52211369.894016892</v>
      </c>
    </row>
    <row r="36" spans="1:14">
      <c r="B36" s="18" t="s">
        <v>17</v>
      </c>
      <c r="C36" s="18"/>
      <c r="D36" s="18">
        <f>-0.0000035*20000+0.4385</f>
        <v>0.36849999999999999</v>
      </c>
    </row>
    <row r="37" spans="1:14">
      <c r="A37" t="s">
        <v>38</v>
      </c>
      <c r="B37" t="s">
        <v>39</v>
      </c>
      <c r="C37" t="s">
        <v>40</v>
      </c>
      <c r="D37" s="6">
        <f>-(F32/E32)</f>
        <v>125285.7142857142</v>
      </c>
    </row>
    <row r="38" spans="1:14">
      <c r="D38" s="7"/>
    </row>
    <row r="39" spans="1:14">
      <c r="D39" s="7"/>
    </row>
    <row r="40" spans="1:14">
      <c r="D40" s="7"/>
    </row>
    <row r="41" spans="1:14">
      <c r="D41" s="7"/>
    </row>
    <row r="42" spans="1:14">
      <c r="D42" s="7"/>
    </row>
    <row r="44" spans="1:14">
      <c r="A44" t="s">
        <v>50</v>
      </c>
    </row>
    <row r="45" spans="1:14">
      <c r="A45" s="1" t="s">
        <v>51</v>
      </c>
      <c r="B45" s="4">
        <v>4712</v>
      </c>
      <c r="C45" t="s">
        <v>53</v>
      </c>
      <c r="F45" t="s">
        <v>22</v>
      </c>
      <c r="H45">
        <f>0.5/0.00010612</f>
        <v>4711.6471918582738</v>
      </c>
    </row>
    <row r="46" spans="1:14">
      <c r="A46" s="1" t="s">
        <v>52</v>
      </c>
      <c r="B46" s="27">
        <f>G35</f>
        <v>29062</v>
      </c>
      <c r="C46" s="1" t="s">
        <v>6</v>
      </c>
      <c r="D46" s="11">
        <v>1562468</v>
      </c>
    </row>
    <row r="47" spans="1:14">
      <c r="A47" s="1" t="s">
        <v>3</v>
      </c>
      <c r="B47" s="10">
        <f>H35</f>
        <v>8137</v>
      </c>
      <c r="C47" s="1" t="s">
        <v>11</v>
      </c>
      <c r="D47" s="11">
        <v>40670</v>
      </c>
    </row>
    <row r="48" spans="1:14">
      <c r="A48" s="1" t="s">
        <v>4</v>
      </c>
      <c r="B48" s="10">
        <f>I35</f>
        <v>49987</v>
      </c>
      <c r="C48" s="1" t="s">
        <v>10</v>
      </c>
      <c r="D48" s="11">
        <v>5655763</v>
      </c>
    </row>
    <row r="49" spans="1:4">
      <c r="A49" s="13" t="s">
        <v>5</v>
      </c>
      <c r="B49" s="12">
        <f>M35</f>
        <v>47081.75</v>
      </c>
      <c r="C49" s="13" t="s">
        <v>9</v>
      </c>
      <c r="D49" s="12">
        <v>52206751</v>
      </c>
    </row>
    <row r="50" spans="1:4">
      <c r="C50" s="1" t="s">
        <v>7</v>
      </c>
      <c r="D50" s="3" t="s">
        <v>8</v>
      </c>
    </row>
  </sheetData>
  <mergeCells count="12">
    <mergeCell ref="B2:B3"/>
    <mergeCell ref="C2:L2"/>
    <mergeCell ref="M27:M28"/>
    <mergeCell ref="N27:N28"/>
    <mergeCell ref="O27:O28"/>
    <mergeCell ref="B27:B28"/>
    <mergeCell ref="C27:C28"/>
    <mergeCell ref="D27:D28"/>
    <mergeCell ref="E27:E28"/>
    <mergeCell ref="F27:F28"/>
    <mergeCell ref="G27:I27"/>
    <mergeCell ref="J27:L2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I13"/>
  <sheetViews>
    <sheetView tabSelected="1" workbookViewId="0">
      <selection activeCell="H14" sqref="H14"/>
    </sheetView>
  </sheetViews>
  <sheetFormatPr defaultRowHeight="16.5"/>
  <cols>
    <col min="1" max="1" width="5.25" customWidth="1"/>
    <col min="2" max="2" width="4.375" customWidth="1"/>
    <col min="3" max="3" width="7" customWidth="1"/>
    <col min="4" max="5" width="11.5" customWidth="1"/>
    <col min="8" max="8" width="2.75" customWidth="1"/>
  </cols>
  <sheetData>
    <row r="4" spans="1:9" ht="20.25">
      <c r="A4" s="76" t="s">
        <v>35</v>
      </c>
      <c r="B4" s="76"/>
      <c r="C4" s="76"/>
      <c r="D4" s="77"/>
      <c r="E4" s="77"/>
      <c r="F4" s="77"/>
    </row>
    <row r="5" spans="1:9" ht="20.25">
      <c r="B5" s="73">
        <v>1</v>
      </c>
      <c r="C5" s="36"/>
      <c r="D5" s="37"/>
      <c r="E5" s="37"/>
      <c r="F5" s="37"/>
      <c r="G5" s="37"/>
    </row>
    <row r="6" spans="1:9" ht="20.25">
      <c r="B6" s="73"/>
      <c r="C6" s="74"/>
      <c r="D6" s="37"/>
      <c r="E6" s="37"/>
      <c r="F6" s="37"/>
      <c r="G6" s="37"/>
    </row>
    <row r="7" spans="1:9" ht="20.25">
      <c r="B7" s="73" t="s">
        <v>24</v>
      </c>
      <c r="C7" s="74"/>
      <c r="D7" s="37"/>
      <c r="E7" s="37"/>
      <c r="F7" s="37"/>
      <c r="G7" s="37"/>
    </row>
    <row r="8" spans="1:9" ht="26.45" customHeight="1">
      <c r="B8" s="73"/>
      <c r="C8" s="75"/>
      <c r="D8" s="79" t="s">
        <v>30</v>
      </c>
      <c r="E8" s="80"/>
      <c r="F8" s="37"/>
      <c r="G8" s="37"/>
    </row>
    <row r="9" spans="1:9" ht="26.45" customHeight="1">
      <c r="B9" s="38"/>
      <c r="C9" s="75"/>
      <c r="D9" s="81"/>
      <c r="E9" s="82"/>
      <c r="F9" s="37"/>
      <c r="G9" s="37"/>
    </row>
    <row r="10" spans="1:9" ht="26.45" customHeight="1">
      <c r="B10" s="73" t="s">
        <v>25</v>
      </c>
      <c r="C10" s="75"/>
      <c r="D10" s="83"/>
      <c r="E10" s="84"/>
      <c r="F10" s="37"/>
      <c r="G10" s="37"/>
    </row>
    <row r="11" spans="1:9">
      <c r="B11" s="73"/>
      <c r="C11" s="75"/>
      <c r="D11" s="78" t="s">
        <v>23</v>
      </c>
      <c r="E11" s="78"/>
      <c r="F11" s="74"/>
      <c r="G11" s="74"/>
    </row>
    <row r="12" spans="1:9" ht="12.6" customHeight="1">
      <c r="B12" s="38"/>
      <c r="C12" s="75"/>
      <c r="D12" s="78"/>
      <c r="E12" s="78"/>
      <c r="F12" s="74"/>
      <c r="G12" s="74"/>
      <c r="H12" s="35"/>
    </row>
    <row r="13" spans="1:9" ht="21.75">
      <c r="B13" s="39" t="s">
        <v>26</v>
      </c>
      <c r="C13" s="38"/>
      <c r="D13" s="38" t="s">
        <v>27</v>
      </c>
      <c r="E13" s="38"/>
      <c r="F13" s="38" t="s">
        <v>28</v>
      </c>
      <c r="G13" s="39" t="s">
        <v>29</v>
      </c>
      <c r="H13" s="72" t="s">
        <v>54</v>
      </c>
      <c r="I13" s="72"/>
    </row>
  </sheetData>
  <mergeCells count="11">
    <mergeCell ref="A4:F4"/>
    <mergeCell ref="D11:E12"/>
    <mergeCell ref="F11:G12"/>
    <mergeCell ref="D8:E10"/>
    <mergeCell ref="H13:I13"/>
    <mergeCell ref="B10:B11"/>
    <mergeCell ref="B7:B8"/>
    <mergeCell ref="B5:B6"/>
    <mergeCell ref="C6:C7"/>
    <mergeCell ref="C8:C10"/>
    <mergeCell ref="C11:C1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Analysis</vt:lpstr>
      <vt:lpstr>concept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hoon jeong</dc:creator>
  <cp:lastModifiedBy>user</cp:lastModifiedBy>
  <cp:lastPrinted>2016-03-11T17:10:14Z</cp:lastPrinted>
  <dcterms:created xsi:type="dcterms:W3CDTF">2016-01-10T07:24:48Z</dcterms:created>
  <dcterms:modified xsi:type="dcterms:W3CDTF">2019-10-24T00:42:25Z</dcterms:modified>
</cp:coreProperties>
</file>