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20\내 드라이브\2022 2학기\IT Investment Analysis\Team Project\BC Analysis\"/>
    </mc:Choice>
  </mc:AlternateContent>
  <xr:revisionPtr revIDLastSave="0" documentId="8_{141DFE62-B996-4BA3-89E7-C41C6E81907A}" xr6:coauthVersionLast="47" xr6:coauthVersionMax="47" xr10:uidLastSave="{00000000-0000-0000-0000-000000000000}"/>
  <bookViews>
    <workbookView xWindow="390" yWindow="390" windowWidth="11295" windowHeight="10635" activeTab="1" xr2:uid="{A0EA4013-C855-42D8-BD2F-FDF4847FAC8E}"/>
  </bookViews>
  <sheets>
    <sheet name="Financial Statement" sheetId="1" r:id="rId1"/>
    <sheet name="Oliveyoung vs Cosu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C7" i="2"/>
  <c r="B8" i="2"/>
  <c r="E15" i="2"/>
  <c r="E14" i="2"/>
  <c r="I13" i="1"/>
  <c r="D73" i="1"/>
  <c r="I15" i="1"/>
  <c r="C34" i="1"/>
  <c r="L37" i="1" s="1"/>
  <c r="I16" i="1"/>
  <c r="D88" i="1"/>
  <c r="C9" i="2"/>
  <c r="C15" i="2" s="1"/>
  <c r="C14" i="2"/>
  <c r="C8" i="2"/>
  <c r="B4" i="2"/>
  <c r="L82" i="1"/>
  <c r="K82" i="1"/>
  <c r="C35" i="1"/>
  <c r="L38" i="1" s="1"/>
  <c r="I17" i="1" l="1"/>
  <c r="B89" i="1" s="1"/>
  <c r="B90" i="1" s="1"/>
  <c r="L13" i="1" l="1"/>
  <c r="B23" i="1" l="1"/>
  <c r="B20" i="1"/>
  <c r="J22" i="1"/>
  <c r="B7" i="1"/>
  <c r="B6" i="1"/>
  <c r="B91" i="1"/>
  <c r="B93" i="1" s="1"/>
  <c r="J23" i="1"/>
  <c r="B12" i="1" s="1"/>
  <c r="B4" i="1" s="1"/>
  <c r="W65" i="1"/>
  <c r="R65" i="1"/>
  <c r="M65" i="1"/>
  <c r="H65" i="1"/>
  <c r="C65" i="1"/>
  <c r="H6" i="1"/>
  <c r="M54" i="1" s="1"/>
  <c r="H7" i="1"/>
  <c r="M55" i="1" s="1"/>
  <c r="C8" i="1"/>
  <c r="D8" i="1" s="1"/>
  <c r="E8" i="1" s="1"/>
  <c r="F8" i="1" s="1"/>
  <c r="G8" i="1" s="1"/>
  <c r="H8" i="1" s="1"/>
  <c r="I8" i="1" s="1"/>
  <c r="J8" i="1" s="1"/>
  <c r="K8" i="1" s="1"/>
  <c r="L8" i="1" s="1"/>
  <c r="B31" i="1"/>
  <c r="B32" i="1" s="1"/>
  <c r="F43" i="1"/>
  <c r="C64" i="1" s="1"/>
  <c r="F22" i="1"/>
  <c r="J24" i="1" l="1"/>
  <c r="F38" i="1"/>
  <c r="I38" i="1"/>
  <c r="G38" i="1"/>
  <c r="H38" i="1"/>
  <c r="J38" i="1"/>
  <c r="C38" i="1"/>
  <c r="K38" i="1"/>
  <c r="D38" i="1"/>
  <c r="E38" i="1"/>
  <c r="K37" i="1"/>
  <c r="H37" i="1"/>
  <c r="J37" i="1"/>
  <c r="D37" i="1"/>
  <c r="C37" i="1"/>
  <c r="E37" i="1"/>
  <c r="F37" i="1"/>
  <c r="I37" i="1"/>
  <c r="G37" i="1"/>
  <c r="B24" i="1"/>
  <c r="B5" i="1" s="1"/>
  <c r="B21" i="1"/>
  <c r="W62" i="1"/>
  <c r="R62" i="1"/>
  <c r="M62" i="1"/>
  <c r="H62" i="1"/>
  <c r="C62" i="1"/>
  <c r="W64" i="1"/>
  <c r="R64" i="1"/>
  <c r="M64" i="1"/>
  <c r="H64" i="1"/>
  <c r="C52" i="1"/>
  <c r="W52" i="1"/>
  <c r="R52" i="1"/>
  <c r="M52" i="1"/>
  <c r="H52" i="1"/>
  <c r="H4" i="1"/>
  <c r="F13" i="1"/>
  <c r="C39" i="1" l="1"/>
  <c r="D39" i="1"/>
  <c r="C66" i="1" s="1"/>
  <c r="B75" i="1" s="1"/>
  <c r="F14" i="1"/>
  <c r="H9" i="1" s="1"/>
  <c r="M59" i="1" s="1"/>
  <c r="M63" i="1" s="1"/>
  <c r="J25" i="1"/>
  <c r="M50" i="1"/>
  <c r="E39" i="1"/>
  <c r="H5" i="1"/>
  <c r="M53" i="1" s="1"/>
  <c r="N56" i="1" s="1"/>
  <c r="G3" i="1"/>
  <c r="I3" i="1"/>
  <c r="G9" i="1" l="1"/>
  <c r="I9" i="1"/>
  <c r="H88" i="1"/>
  <c r="L16" i="1"/>
  <c r="N57" i="1"/>
  <c r="F39" i="1"/>
  <c r="H66" i="1" s="1"/>
  <c r="C75" i="1" s="1"/>
  <c r="I7" i="1"/>
  <c r="I6" i="1"/>
  <c r="I4" i="1"/>
  <c r="G7" i="1"/>
  <c r="G6" i="1"/>
  <c r="G4" i="1"/>
  <c r="I5" i="1"/>
  <c r="G5" i="1"/>
  <c r="F3" i="1"/>
  <c r="F9" i="1" s="1"/>
  <c r="H59" i="1" s="1"/>
  <c r="J3" i="1"/>
  <c r="J9" i="1" s="1"/>
  <c r="R59" i="1" s="1"/>
  <c r="R63" i="1" s="1"/>
  <c r="H63" i="1" l="1"/>
  <c r="N17" i="1"/>
  <c r="V17" i="1"/>
  <c r="O17" i="1"/>
  <c r="M17" i="1"/>
  <c r="M16" i="1" s="1"/>
  <c r="Q17" i="1"/>
  <c r="S17" i="1"/>
  <c r="P17" i="1"/>
  <c r="T17" i="1"/>
  <c r="U17" i="1"/>
  <c r="R17" i="1"/>
  <c r="M18" i="1"/>
  <c r="G39" i="1"/>
  <c r="F6" i="1"/>
  <c r="H54" i="1" s="1"/>
  <c r="F7" i="1"/>
  <c r="H55" i="1" s="1"/>
  <c r="F4" i="1"/>
  <c r="H50" i="1" s="1"/>
  <c r="J6" i="1"/>
  <c r="R54" i="1" s="1"/>
  <c r="J7" i="1"/>
  <c r="R55" i="1" s="1"/>
  <c r="J4" i="1"/>
  <c r="E3" i="1"/>
  <c r="E9" i="1" s="1"/>
  <c r="F5" i="1"/>
  <c r="H53" i="1" s="1"/>
  <c r="J5" i="1"/>
  <c r="R53" i="1" s="1"/>
  <c r="K3" i="1"/>
  <c r="K9" i="1" s="1"/>
  <c r="B3" i="2" l="1"/>
  <c r="B5" i="2" s="1"/>
  <c r="B7" i="2" s="1"/>
  <c r="F88" i="1"/>
  <c r="G88" i="1" s="1"/>
  <c r="B6" i="2"/>
  <c r="N18" i="1"/>
  <c r="C61" i="1" s="1"/>
  <c r="N16" i="1"/>
  <c r="S56" i="1"/>
  <c r="I56" i="1"/>
  <c r="R50" i="1"/>
  <c r="H39" i="1"/>
  <c r="M66" i="1" s="1"/>
  <c r="D75" i="1" s="1"/>
  <c r="E6" i="1"/>
  <c r="E7" i="1"/>
  <c r="E4" i="1"/>
  <c r="E5" i="1"/>
  <c r="D3" i="1"/>
  <c r="K6" i="1"/>
  <c r="K7" i="1"/>
  <c r="K4" i="1"/>
  <c r="L3" i="1"/>
  <c r="L9" i="1" s="1"/>
  <c r="W59" i="1" s="1"/>
  <c r="W63" i="1" s="1"/>
  <c r="K5" i="1"/>
  <c r="I57" i="1" l="1"/>
  <c r="S57" i="1"/>
  <c r="E73" i="1" s="1"/>
  <c r="J88" i="1"/>
  <c r="O18" i="1"/>
  <c r="O16" i="1"/>
  <c r="D5" i="1"/>
  <c r="C53" i="1" s="1"/>
  <c r="D9" i="1"/>
  <c r="C59" i="1" s="1"/>
  <c r="I39" i="1"/>
  <c r="L6" i="1"/>
  <c r="W54" i="1" s="1"/>
  <c r="L7" i="1"/>
  <c r="W55" i="1" s="1"/>
  <c r="L4" i="1"/>
  <c r="C3" i="1"/>
  <c r="D6" i="1"/>
  <c r="C54" i="1" s="1"/>
  <c r="D7" i="1"/>
  <c r="C55" i="1" s="1"/>
  <c r="D4" i="1"/>
  <c r="L5" i="1"/>
  <c r="W53" i="1" s="1"/>
  <c r="C63" i="1" l="1"/>
  <c r="D67" i="1" s="1"/>
  <c r="D89" i="1" s="1"/>
  <c r="C89" i="1" s="1"/>
  <c r="I88" i="1"/>
  <c r="P18" i="1"/>
  <c r="H61" i="1" s="1"/>
  <c r="P16" i="1"/>
  <c r="D56" i="1"/>
  <c r="C73" i="1"/>
  <c r="C4" i="1"/>
  <c r="C9" i="1"/>
  <c r="X56" i="1"/>
  <c r="W50" i="1"/>
  <c r="C50" i="1"/>
  <c r="C88" i="1" s="1"/>
  <c r="J39" i="1"/>
  <c r="R66" i="1" s="1"/>
  <c r="C6" i="1"/>
  <c r="C7" i="1"/>
  <c r="B3" i="1"/>
  <c r="C5" i="1"/>
  <c r="I67" i="1" l="1"/>
  <c r="H68" i="1" s="1"/>
  <c r="I70" i="1" s="1"/>
  <c r="D90" i="1"/>
  <c r="E75" i="1"/>
  <c r="D57" i="1"/>
  <c r="B73" i="1" s="1"/>
  <c r="L88" i="1"/>
  <c r="K88" i="1" s="1"/>
  <c r="X57" i="1"/>
  <c r="F73" i="1" s="1"/>
  <c r="Q16" i="1"/>
  <c r="Q18" i="1"/>
  <c r="B9" i="1"/>
  <c r="L39" i="1"/>
  <c r="W66" i="1" s="1"/>
  <c r="F75" i="1" s="1"/>
  <c r="K39" i="1"/>
  <c r="C74" i="1" l="1"/>
  <c r="C76" i="1" s="1"/>
  <c r="C78" i="1" s="1"/>
  <c r="F89" i="1"/>
  <c r="F90" i="1" s="1"/>
  <c r="C90" i="1"/>
  <c r="E88" i="1"/>
  <c r="R18" i="1"/>
  <c r="M61" i="1" s="1"/>
  <c r="R16" i="1"/>
  <c r="C68" i="1"/>
  <c r="D70" i="1" s="1"/>
  <c r="B74" i="1"/>
  <c r="B76" i="1" s="1"/>
  <c r="B78" i="1" s="1"/>
  <c r="E89" i="1" l="1"/>
  <c r="E90" i="1" s="1"/>
  <c r="N67" i="1"/>
  <c r="D74" i="1" s="1"/>
  <c r="D76" i="1" s="1"/>
  <c r="D81" i="1" s="1"/>
  <c r="D82" i="1" s="1"/>
  <c r="D77" i="1" s="1"/>
  <c r="B9" i="2"/>
  <c r="S18" i="1"/>
  <c r="S16" i="1"/>
  <c r="M68" i="1" l="1"/>
  <c r="B15" i="2"/>
  <c r="B11" i="2"/>
  <c r="B12" i="2" s="1"/>
  <c r="B14" i="2" s="1"/>
  <c r="M69" i="1"/>
  <c r="T18" i="1"/>
  <c r="R61" i="1" s="1"/>
  <c r="S67" i="1" s="1"/>
  <c r="T16" i="1"/>
  <c r="D78" i="1" l="1"/>
  <c r="U18" i="1"/>
  <c r="U16" i="1"/>
  <c r="E74" i="1"/>
  <c r="E76" i="1" s="1"/>
  <c r="E81" i="1" s="1"/>
  <c r="E82" i="1" s="1"/>
  <c r="E77" i="1" s="1"/>
  <c r="R68" i="1"/>
  <c r="N70" i="1"/>
  <c r="H89" i="1"/>
  <c r="H90" i="1" l="1"/>
  <c r="G89" i="1"/>
  <c r="G90" i="1" s="1"/>
  <c r="R69" i="1"/>
  <c r="J89" i="1" s="1"/>
  <c r="V16" i="1"/>
  <c r="V18" i="1"/>
  <c r="W61" i="1" s="1"/>
  <c r="X67" i="1" s="1"/>
  <c r="J90" i="1" l="1"/>
  <c r="E78" i="1"/>
  <c r="I89" i="1"/>
  <c r="I90" i="1" s="1"/>
  <c r="F74" i="1"/>
  <c r="F76" i="1" s="1"/>
  <c r="F81" i="1" s="1"/>
  <c r="F82" i="1" s="1"/>
  <c r="F77" i="1" s="1"/>
  <c r="W68" i="1"/>
  <c r="S70" i="1"/>
  <c r="W69" i="1" l="1"/>
  <c r="X70" i="1" l="1"/>
  <c r="L89" i="1"/>
  <c r="F78" i="1"/>
  <c r="L90" i="1" l="1"/>
  <c r="K89" i="1"/>
  <c r="K90" i="1" s="1"/>
  <c r="B95" i="1" l="1"/>
  <c r="B94" i="1"/>
  <c r="B96" i="1" s="1"/>
</calcChain>
</file>

<file path=xl/sharedStrings.xml><?xml version="1.0" encoding="utf-8"?>
<sst xmlns="http://schemas.openxmlformats.org/spreadsheetml/2006/main" count="228" uniqueCount="128">
  <si>
    <t>구독자수</t>
  </si>
  <si>
    <t>year</t>
  </si>
  <si>
    <t>구독자 수</t>
  </si>
  <si>
    <t>구독료</t>
  </si>
  <si>
    <t>화장품 구매 비용</t>
  </si>
  <si>
    <t>포장재 비용</t>
  </si>
  <si>
    <t>배달비용</t>
  </si>
  <si>
    <t>제휴 화장품 회사</t>
  </si>
  <si>
    <t>화장품 회사에서 받는 수수료</t>
  </si>
  <si>
    <t>코섭 예상 성장률</t>
  </si>
  <si>
    <t>1인 구독료(year)</t>
  </si>
  <si>
    <t>Commision</t>
  </si>
  <si>
    <t>First cost</t>
  </si>
  <si>
    <t>Debt</t>
  </si>
  <si>
    <t>포장재 단가</t>
  </si>
  <si>
    <t>원가</t>
    <phoneticPr fontId="3" type="noConversion"/>
  </si>
  <si>
    <t>first cost</t>
  </si>
  <si>
    <t>배송</t>
    <phoneticPr fontId="3" type="noConversion"/>
  </si>
  <si>
    <t>코섭이 가져가는 비용</t>
  </si>
  <si>
    <t>i</t>
  </si>
  <si>
    <t>nas stroage</t>
  </si>
  <si>
    <t>data</t>
  </si>
  <si>
    <t>Remained debt</t>
  </si>
  <si>
    <t>toal</t>
  </si>
  <si>
    <t>repayment</t>
  </si>
  <si>
    <t>interest</t>
  </si>
  <si>
    <t>화장품 평균 가격</t>
  </si>
  <si>
    <t>인건비</t>
  </si>
  <si>
    <t>1회 구독료</t>
    <phoneticPr fontId="3" type="noConversion"/>
  </si>
  <si>
    <t>3개 회사의 평균</t>
    <phoneticPr fontId="3" type="noConversion"/>
  </si>
  <si>
    <t>Num of employee</t>
  </si>
  <si>
    <t>화장품 도매가</t>
    <phoneticPr fontId="3" type="noConversion"/>
  </si>
  <si>
    <t>1년 기준 화장품 비용</t>
    <phoneticPr fontId="3" type="noConversion"/>
  </si>
  <si>
    <t>Salaries(year)</t>
  </si>
  <si>
    <t>배송료 (2500 * 8)</t>
    <phoneticPr fontId="3" type="noConversion"/>
  </si>
  <si>
    <t>수수료(할인비율)</t>
    <phoneticPr fontId="3" type="noConversion"/>
  </si>
  <si>
    <t>Total</t>
  </si>
  <si>
    <t>제품 1개당 실구입비용</t>
    <phoneticPr fontId="3" type="noConversion"/>
  </si>
  <si>
    <t>1년 구독료 (* 4)</t>
    <phoneticPr fontId="3" type="noConversion"/>
  </si>
  <si>
    <t xml:space="preserve">최종 화장품 구매 비용(1인, 1년) </t>
    <phoneticPr fontId="3" type="noConversion"/>
  </si>
  <si>
    <t>코섭이 가져가는 비용</t>
    <phoneticPr fontId="3" type="noConversion"/>
  </si>
  <si>
    <t>코섭 순이익 비율</t>
    <phoneticPr fontId="3" type="noConversion"/>
  </si>
  <si>
    <t>SW 운영 비용</t>
  </si>
  <si>
    <t>가상 머신</t>
  </si>
  <si>
    <t>Azure SQL Database</t>
  </si>
  <si>
    <t>App Service</t>
  </si>
  <si>
    <t>Git</t>
  </si>
  <si>
    <t>monthly cost</t>
  </si>
  <si>
    <t>Total(year)</t>
  </si>
  <si>
    <t>Depreciation</t>
  </si>
  <si>
    <t>year</t>
    <phoneticPr fontId="3" type="noConversion"/>
  </si>
  <si>
    <t>mac</t>
  </si>
  <si>
    <t>storage</t>
  </si>
  <si>
    <t>Total</t>
    <phoneticPr fontId="3" type="noConversion"/>
  </si>
  <si>
    <t>인터넷 비용</t>
  </si>
  <si>
    <t>전기세</t>
  </si>
  <si>
    <t>시설이용료</t>
  </si>
  <si>
    <t>월세</t>
  </si>
  <si>
    <t>year 2 - income statement</t>
  </si>
  <si>
    <t>year 4</t>
  </si>
  <si>
    <t>year 6</t>
  </si>
  <si>
    <t>year8</t>
  </si>
  <si>
    <t>year10</t>
  </si>
  <si>
    <t>Income Statement</t>
  </si>
  <si>
    <t>Cosub, Inc.</t>
  </si>
  <si>
    <t>For the year ended December 31, 20XX</t>
  </si>
  <si>
    <t>Net Sales(구독료)</t>
  </si>
  <si>
    <t>Cost of goods sold :</t>
  </si>
  <si>
    <t>Software developing</t>
  </si>
  <si>
    <t>Lip Products</t>
  </si>
  <si>
    <t>Package Material</t>
  </si>
  <si>
    <t>Delivery</t>
  </si>
  <si>
    <t>Total cost of goods sold</t>
  </si>
  <si>
    <t>Gross Profit</t>
  </si>
  <si>
    <t>Operating Revenue :</t>
  </si>
  <si>
    <t>Commision from vendor</t>
  </si>
  <si>
    <t>Expense :</t>
  </si>
  <si>
    <t>Interest</t>
  </si>
  <si>
    <t>Salaries</t>
  </si>
  <si>
    <t>Marketing</t>
  </si>
  <si>
    <t>Facility</t>
  </si>
  <si>
    <t>Depriciation</t>
  </si>
  <si>
    <t>Total Expense</t>
  </si>
  <si>
    <t>Income before tax</t>
  </si>
  <si>
    <t>Income tax expense</t>
  </si>
  <si>
    <t>Net income</t>
  </si>
  <si>
    <t>Gross income</t>
  </si>
  <si>
    <t>Operating Expense</t>
  </si>
  <si>
    <t>Taxible income(GI - OE - D)</t>
    <phoneticPr fontId="3" type="noConversion"/>
  </si>
  <si>
    <t>Tax(TI * R)</t>
  </si>
  <si>
    <t>Net Operatig Profit After Tax(TI - Tax)</t>
  </si>
  <si>
    <t>Cash Inflow</t>
    <phoneticPr fontId="3" type="noConversion"/>
  </si>
  <si>
    <t>Cash Outflow</t>
    <phoneticPr fontId="3" type="noConversion"/>
  </si>
  <si>
    <t>Net cash flow</t>
    <phoneticPr fontId="3" type="noConversion"/>
  </si>
  <si>
    <t>i</t>
    <phoneticPr fontId="3" type="noConversion"/>
  </si>
  <si>
    <t>f</t>
    <phoneticPr fontId="3" type="noConversion"/>
  </si>
  <si>
    <t>i(f)</t>
    <phoneticPr fontId="3" type="noConversion"/>
  </si>
  <si>
    <t>npv</t>
    <phoneticPr fontId="3" type="noConversion"/>
  </si>
  <si>
    <t>포장재 (217 * 8)</t>
    <phoneticPr fontId="3" type="noConversion"/>
  </si>
  <si>
    <t>Interest</t>
    <phoneticPr fontId="3" type="noConversion"/>
  </si>
  <si>
    <t>Net Sales</t>
    <phoneticPr fontId="3" type="noConversion"/>
  </si>
  <si>
    <t>B/C ratio</t>
  </si>
  <si>
    <t>irr</t>
    <phoneticPr fontId="3" type="noConversion"/>
  </si>
  <si>
    <t>비용</t>
    <phoneticPr fontId="3" type="noConversion"/>
  </si>
  <si>
    <t>매출원가</t>
    <phoneticPr fontId="3" type="noConversion"/>
  </si>
  <si>
    <t>매출액</t>
    <phoneticPr fontId="3" type="noConversion"/>
  </si>
  <si>
    <t>코섭</t>
    <phoneticPr fontId="3" type="noConversion"/>
  </si>
  <si>
    <t>와이즐리(면도기)</t>
    <phoneticPr fontId="3" type="noConversion"/>
  </si>
  <si>
    <t>매출총이익</t>
    <phoneticPr fontId="3" type="noConversion"/>
  </si>
  <si>
    <t>Year 5</t>
    <phoneticPr fontId="3" type="noConversion"/>
  </si>
  <si>
    <t>Wisely</t>
    <phoneticPr fontId="3" type="noConversion"/>
  </si>
  <si>
    <t>Cosub</t>
    <phoneticPr fontId="3" type="noConversion"/>
  </si>
  <si>
    <t>Tax</t>
    <phoneticPr fontId="3" type="noConversion"/>
  </si>
  <si>
    <t>Oliveyoung</t>
    <phoneticPr fontId="3" type="noConversion"/>
  </si>
  <si>
    <t>mac pro + pro display xdr</t>
    <phoneticPr fontId="3" type="noConversion"/>
  </si>
  <si>
    <t>deposit</t>
    <phoneticPr fontId="3" type="noConversion"/>
  </si>
  <si>
    <t>Utility</t>
    <phoneticPr fontId="3" type="noConversion"/>
  </si>
  <si>
    <t>Sales</t>
    <phoneticPr fontId="3" type="noConversion"/>
  </si>
  <si>
    <t>Cost of goods sales</t>
    <phoneticPr fontId="3" type="noConversion"/>
  </si>
  <si>
    <t>Gross profit</t>
    <phoneticPr fontId="3" type="noConversion"/>
  </si>
  <si>
    <t>Expense</t>
    <phoneticPr fontId="3" type="noConversion"/>
  </si>
  <si>
    <t>Operating revenue</t>
    <phoneticPr fontId="3" type="noConversion"/>
  </si>
  <si>
    <t>Other revenue</t>
    <phoneticPr fontId="3" type="noConversion"/>
  </si>
  <si>
    <t>Gross profit before tax</t>
    <phoneticPr fontId="3" type="noConversion"/>
  </si>
  <si>
    <t>Net income</t>
    <phoneticPr fontId="3" type="noConversion"/>
  </si>
  <si>
    <t>Other expense</t>
    <phoneticPr fontId="3" type="noConversion"/>
  </si>
  <si>
    <t>Net income per Sales</t>
    <phoneticPr fontId="3" type="noConversion"/>
  </si>
  <si>
    <t>Total expense per Sales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</si>
</sst>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_-* #,##0.000_-;\-* #,##0.000_-;_-* &quot;-&quot;_-;_-@_-"/>
    <numFmt numFmtId="177" formatCode="_-* #,##0.00_-;\-* #,##0.00_-;_-* &quot;-&quot;_-;_-@_-"/>
    <numFmt numFmtId="178" formatCode="_-[$₩-412]* #,##0.00_-;\-[$₩-412]* #,##0.00_-;_-[$₩-412]* &quot;-&quot;??_-;_-@_-"/>
    <numFmt numFmtId="179" formatCode="_-[$₩-412]* #,##0_-;\-[$₩-412]* #,##0_-;_-[$₩-412]* &quot;-&quot;??_-;_-@_-"/>
    <numFmt numFmtId="180" formatCode="&quot;₩&quot;#,##0_);[Red]\(&quot;₩&quot;#,##0\)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굴림"/>
      <family val="3"/>
    </font>
  </fonts>
  <fills count="10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41" fontId="2" fillId="0" borderId="0" xfId="1" applyFont="1">
      <alignment vertical="center"/>
    </xf>
    <xf numFmtId="41" fontId="0" fillId="0" borderId="0" xfId="1" applyFont="1">
      <alignment vertical="center"/>
    </xf>
    <xf numFmtId="41" fontId="0" fillId="0" borderId="2" xfId="1" applyFont="1" applyBorder="1">
      <alignment vertical="center"/>
    </xf>
    <xf numFmtId="41" fontId="0" fillId="0" borderId="3" xfId="1" applyFont="1" applyBorder="1">
      <alignment vertical="center"/>
    </xf>
    <xf numFmtId="41" fontId="0" fillId="0" borderId="4" xfId="1" applyFont="1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2" borderId="1" xfId="1" applyFont="1" applyFill="1" applyBorder="1">
      <alignment vertical="center"/>
    </xf>
    <xf numFmtId="41" fontId="0" fillId="2" borderId="2" xfId="1" applyFont="1" applyFill="1" applyBorder="1">
      <alignment vertical="center"/>
    </xf>
    <xf numFmtId="41" fontId="0" fillId="2" borderId="3" xfId="1" applyFont="1" applyFill="1" applyBorder="1">
      <alignment vertical="center"/>
    </xf>
    <xf numFmtId="41" fontId="0" fillId="2" borderId="4" xfId="1" applyFont="1" applyFill="1" applyBorder="1">
      <alignment vertical="center"/>
    </xf>
    <xf numFmtId="41" fontId="2" fillId="0" borderId="3" xfId="1" applyFont="1" applyBorder="1">
      <alignment vertical="center"/>
    </xf>
    <xf numFmtId="41" fontId="2" fillId="0" borderId="8" xfId="1" applyFont="1" applyBorder="1">
      <alignment vertical="center"/>
    </xf>
    <xf numFmtId="41" fontId="0" fillId="0" borderId="8" xfId="1" applyFont="1" applyBorder="1">
      <alignment vertical="center"/>
    </xf>
    <xf numFmtId="41" fontId="2" fillId="3" borderId="9" xfId="1" applyFont="1" applyFill="1" applyBorder="1">
      <alignment vertical="center"/>
    </xf>
    <xf numFmtId="41" fontId="0" fillId="3" borderId="9" xfId="1" applyFont="1" applyFill="1" applyBorder="1">
      <alignment vertical="center"/>
    </xf>
    <xf numFmtId="41" fontId="4" fillId="3" borderId="9" xfId="1" applyFont="1" applyFill="1" applyBorder="1">
      <alignment vertical="center"/>
    </xf>
    <xf numFmtId="176" fontId="0" fillId="0" borderId="0" xfId="1" applyNumberFormat="1" applyFont="1">
      <alignment vertical="center"/>
    </xf>
    <xf numFmtId="9" fontId="0" fillId="3" borderId="9" xfId="2" applyFont="1" applyFill="1" applyBorder="1">
      <alignment vertical="center"/>
    </xf>
    <xf numFmtId="9" fontId="0" fillId="0" borderId="0" xfId="2" applyFont="1">
      <alignment vertical="center"/>
    </xf>
    <xf numFmtId="41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178" fontId="0" fillId="0" borderId="0" xfId="1" applyNumberFormat="1" applyFo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16" xfId="0" applyFill="1" applyBorder="1">
      <alignment vertical="center"/>
    </xf>
    <xf numFmtId="0" fontId="0" fillId="4" borderId="17" xfId="0" applyFill="1" applyBorder="1">
      <alignment vertical="center"/>
    </xf>
    <xf numFmtId="0" fontId="0" fillId="0" borderId="16" xfId="0" applyBorder="1">
      <alignment vertical="center"/>
    </xf>
    <xf numFmtId="10" fontId="0" fillId="0" borderId="17" xfId="2" applyNumberFormat="1" applyFont="1" applyBorder="1">
      <alignment vertical="center"/>
    </xf>
    <xf numFmtId="10" fontId="0" fillId="0" borderId="0" xfId="1" applyNumberFormat="1" applyFont="1">
      <alignment vertical="center"/>
    </xf>
    <xf numFmtId="41" fontId="0" fillId="5" borderId="18" xfId="1" applyFont="1" applyFill="1" applyBorder="1">
      <alignment vertical="center"/>
    </xf>
    <xf numFmtId="41" fontId="0" fillId="6" borderId="9" xfId="1" applyFont="1" applyFill="1" applyBorder="1">
      <alignment vertical="center"/>
    </xf>
    <xf numFmtId="0" fontId="0" fillId="6" borderId="9" xfId="1" applyNumberFormat="1" applyFont="1" applyFill="1" applyBorder="1">
      <alignment vertical="center"/>
    </xf>
    <xf numFmtId="6" fontId="0" fillId="0" borderId="0" xfId="1" applyNumberFormat="1" applyFont="1">
      <alignment vertical="center"/>
    </xf>
    <xf numFmtId="41" fontId="0" fillId="7" borderId="3" xfId="1" applyFont="1" applyFill="1" applyBorder="1">
      <alignment vertical="center"/>
    </xf>
    <xf numFmtId="41" fontId="0" fillId="7" borderId="4" xfId="1" applyFont="1" applyFill="1" applyBorder="1">
      <alignment vertical="center"/>
    </xf>
    <xf numFmtId="41" fontId="2" fillId="7" borderId="0" xfId="1" applyFont="1" applyFill="1" applyBorder="1">
      <alignment vertical="center"/>
    </xf>
    <xf numFmtId="41" fontId="0" fillId="7" borderId="0" xfId="1" applyFont="1" applyFill="1" applyBorder="1">
      <alignment vertical="center"/>
    </xf>
    <xf numFmtId="41" fontId="0" fillId="8" borderId="1" xfId="1" applyFont="1" applyFill="1" applyBorder="1">
      <alignment vertical="center"/>
    </xf>
    <xf numFmtId="41" fontId="0" fillId="8" borderId="2" xfId="1" applyFont="1" applyFill="1" applyBorder="1">
      <alignment vertical="center"/>
    </xf>
    <xf numFmtId="41" fontId="0" fillId="8" borderId="3" xfId="1" applyFont="1" applyFill="1" applyBorder="1">
      <alignment vertical="center"/>
    </xf>
    <xf numFmtId="41" fontId="0" fillId="8" borderId="4" xfId="1" applyFont="1" applyFill="1" applyBorder="1">
      <alignment vertical="center"/>
    </xf>
    <xf numFmtId="41" fontId="2" fillId="7" borderId="3" xfId="1" applyFont="1" applyFill="1" applyBorder="1">
      <alignment vertical="center"/>
    </xf>
    <xf numFmtId="41" fontId="0" fillId="7" borderId="0" xfId="1" applyFont="1" applyFill="1">
      <alignment vertical="center"/>
    </xf>
    <xf numFmtId="41" fontId="2" fillId="7" borderId="0" xfId="1" applyFont="1" applyFill="1">
      <alignment vertical="center"/>
    </xf>
    <xf numFmtId="41" fontId="0" fillId="7" borderId="5" xfId="1" applyFont="1" applyFill="1" applyBorder="1">
      <alignment vertical="center"/>
    </xf>
    <xf numFmtId="41" fontId="2" fillId="7" borderId="8" xfId="1" applyFont="1" applyFill="1" applyBorder="1">
      <alignment vertical="center"/>
    </xf>
    <xf numFmtId="41" fontId="0" fillId="7" borderId="8" xfId="1" applyFont="1" applyFill="1" applyBorder="1">
      <alignment vertical="center"/>
    </xf>
    <xf numFmtId="41" fontId="0" fillId="7" borderId="6" xfId="1" applyFont="1" applyFill="1" applyBorder="1">
      <alignment vertical="center"/>
    </xf>
    <xf numFmtId="41" fontId="2" fillId="7" borderId="19" xfId="1" applyFont="1" applyFill="1" applyBorder="1">
      <alignment vertical="center"/>
    </xf>
    <xf numFmtId="41" fontId="0" fillId="7" borderId="20" xfId="1" applyFont="1" applyFill="1" applyBorder="1">
      <alignment vertical="center"/>
    </xf>
    <xf numFmtId="41" fontId="0" fillId="7" borderId="21" xfId="1" applyFont="1" applyFill="1" applyBorder="1">
      <alignment vertical="center"/>
    </xf>
    <xf numFmtId="41" fontId="2" fillId="7" borderId="22" xfId="1" applyFont="1" applyFill="1" applyBorder="1">
      <alignment vertical="center"/>
    </xf>
    <xf numFmtId="41" fontId="0" fillId="7" borderId="23" xfId="1" applyFont="1" applyFill="1" applyBorder="1">
      <alignment vertical="center"/>
    </xf>
    <xf numFmtId="41" fontId="0" fillId="7" borderId="22" xfId="1" applyFont="1" applyFill="1" applyBorder="1">
      <alignment vertical="center"/>
    </xf>
    <xf numFmtId="41" fontId="0" fillId="7" borderId="24" xfId="1" applyFont="1" applyFill="1" applyBorder="1">
      <alignment vertical="center"/>
    </xf>
    <xf numFmtId="41" fontId="2" fillId="7" borderId="25" xfId="1" applyFont="1" applyFill="1" applyBorder="1">
      <alignment vertical="center"/>
    </xf>
    <xf numFmtId="41" fontId="0" fillId="7" borderId="25" xfId="1" applyFont="1" applyFill="1" applyBorder="1">
      <alignment vertical="center"/>
    </xf>
    <xf numFmtId="41" fontId="0" fillId="7" borderId="26" xfId="1" applyFont="1" applyFill="1" applyBorder="1">
      <alignment vertical="center"/>
    </xf>
    <xf numFmtId="0" fontId="0" fillId="0" borderId="0" xfId="1" applyNumberFormat="1" applyFont="1">
      <alignment vertical="center"/>
    </xf>
    <xf numFmtId="179" fontId="0" fillId="0" borderId="9" xfId="1" applyNumberFormat="1" applyFont="1" applyBorder="1">
      <alignment vertical="center"/>
    </xf>
    <xf numFmtId="9" fontId="0" fillId="0" borderId="0" xfId="1" applyNumberFormat="1" applyFont="1">
      <alignment vertical="center"/>
    </xf>
    <xf numFmtId="178" fontId="0" fillId="3" borderId="27" xfId="1" applyNumberFormat="1" applyFont="1" applyFill="1" applyBorder="1">
      <alignment vertical="center"/>
    </xf>
    <xf numFmtId="178" fontId="5" fillId="0" borderId="0" xfId="0" applyNumberFormat="1" applyFont="1" applyBorder="1">
      <alignment vertical="center"/>
    </xf>
    <xf numFmtId="3" fontId="6" fillId="0" borderId="18" xfId="0" applyNumberFormat="1" applyFont="1" applyBorder="1" applyAlignment="1">
      <alignment horizontal="right" vertical="center" wrapText="1"/>
    </xf>
    <xf numFmtId="179" fontId="0" fillId="0" borderId="0" xfId="0" applyNumberFormat="1">
      <alignment vertical="center"/>
    </xf>
    <xf numFmtId="179" fontId="0" fillId="0" borderId="0" xfId="0" applyNumberFormat="1" applyAlignment="1">
      <alignment vertical="center"/>
    </xf>
    <xf numFmtId="180" fontId="0" fillId="0" borderId="0" xfId="0" applyNumberFormat="1">
      <alignment vertical="center"/>
    </xf>
    <xf numFmtId="10" fontId="0" fillId="0" borderId="0" xfId="2" applyNumberFormat="1" applyFont="1" applyAlignment="1">
      <alignment vertical="center"/>
    </xf>
    <xf numFmtId="10" fontId="0" fillId="0" borderId="0" xfId="2" applyNumberFormat="1" applyFont="1">
      <alignment vertical="center"/>
    </xf>
    <xf numFmtId="41" fontId="2" fillId="7" borderId="9" xfId="1" applyFont="1" applyFill="1" applyBorder="1">
      <alignment vertical="center"/>
    </xf>
    <xf numFmtId="41" fontId="0" fillId="8" borderId="0" xfId="1" applyFont="1" applyFill="1">
      <alignment vertical="center"/>
    </xf>
    <xf numFmtId="179" fontId="0" fillId="0" borderId="0" xfId="0" applyNumberFormat="1" applyFill="1">
      <alignment vertical="center"/>
    </xf>
    <xf numFmtId="42" fontId="4" fillId="0" borderId="0" xfId="0" applyNumberFormat="1" applyFont="1" applyFill="1">
      <alignment vertical="center"/>
    </xf>
    <xf numFmtId="42" fontId="4" fillId="0" borderId="0" xfId="0" applyNumberFormat="1" applyFont="1">
      <alignment vertical="center"/>
    </xf>
    <xf numFmtId="180" fontId="0" fillId="0" borderId="0" xfId="0" applyNumberFormat="1" applyFill="1" applyBorder="1">
      <alignment vertical="center"/>
    </xf>
    <xf numFmtId="0" fontId="0" fillId="0" borderId="0" xfId="0" applyBorder="1">
      <alignment vertical="center"/>
    </xf>
    <xf numFmtId="179" fontId="0" fillId="8" borderId="0" xfId="0" applyNumberFormat="1" applyFill="1" applyBorder="1">
      <alignment vertical="center"/>
    </xf>
    <xf numFmtId="42" fontId="4" fillId="8" borderId="0" xfId="0" applyNumberFormat="1" applyFont="1" applyFill="1" applyBorder="1">
      <alignment vertical="center"/>
    </xf>
    <xf numFmtId="0" fontId="0" fillId="8" borderId="0" xfId="0" applyFill="1" applyBorder="1">
      <alignment vertical="center"/>
    </xf>
    <xf numFmtId="42" fontId="4" fillId="0" borderId="0" xfId="0" applyNumberFormat="1" applyFont="1" applyFill="1" applyBorder="1">
      <alignment vertical="center"/>
    </xf>
    <xf numFmtId="42" fontId="5" fillId="0" borderId="0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0" fontId="0" fillId="9" borderId="0" xfId="0" applyFill="1" applyBorder="1">
      <alignment vertical="center"/>
    </xf>
    <xf numFmtId="10" fontId="0" fillId="0" borderId="0" xfId="2" applyNumberFormat="1" applyFont="1" applyFill="1" applyBorder="1">
      <alignment vertical="center"/>
    </xf>
    <xf numFmtId="9" fontId="4" fillId="0" borderId="0" xfId="2" applyFont="1" applyFill="1" applyBorder="1" applyAlignment="1">
      <alignment vertical="center"/>
    </xf>
    <xf numFmtId="9" fontId="4" fillId="0" borderId="0" xfId="2" applyFont="1" applyFill="1" applyBorder="1">
      <alignment vertical="center"/>
    </xf>
    <xf numFmtId="41" fontId="2" fillId="2" borderId="7" xfId="1" applyFont="1" applyFill="1" applyBorder="1" applyAlignment="1">
      <alignment horizontal="center" vertical="center"/>
    </xf>
    <xf numFmtId="41" fontId="0" fillId="2" borderId="0" xfId="1" applyFont="1" applyFill="1" applyAlignment="1">
      <alignment horizontal="center" vertical="center"/>
    </xf>
    <xf numFmtId="41" fontId="2" fillId="8" borderId="7" xfId="1" applyFont="1" applyFill="1" applyBorder="1" applyAlignment="1">
      <alignment horizontal="center" vertical="center"/>
    </xf>
    <xf numFmtId="41" fontId="0" fillId="8" borderId="0" xfId="1" applyFont="1" applyFill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485776</xdr:colOff>
      <xdr:row>71</xdr:row>
      <xdr:rowOff>123825</xdr:rowOff>
    </xdr:from>
    <xdr:to>
      <xdr:col>7</xdr:col>
      <xdr:colOff>790241</xdr:colOff>
      <xdr:row>78</xdr:row>
      <xdr:rowOff>160244</xdr:rowOff>
    </xdr:to>
    <xdr:pic>
      <xdr:nvPicPr>
        <xdr:cNvPr id="2" name="그림 12">
          <a:extLst>
            <a:ext uri="{FF2B5EF4-FFF2-40B4-BE49-F238E27FC236}">
              <a16:creationId xmlns:a16="http://schemas.microsoft.com/office/drawing/2014/main" id="{0E1330DB-09A9-4E78-B817-981B942763AE}"/>
            </a:ext>
            <a:ext uri="{147F2762-F138-4A5C-976F-8EAC2B608ADB}">
              <a16:predDERef xmlns:a16="http://schemas.microsoft.com/office/drawing/2014/main" pred="{74084AFE-23F7-0D70-DC5A-077D6E715D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1815"/>
        <a:stretch/>
      </xdr:blipFill>
      <xdr:spPr>
        <a:xfrm>
          <a:off x="11310658" y="15240560"/>
          <a:ext cx="2102784" cy="1583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1A3EA-4279-4D8E-830A-11DA0A46F126}">
  <dimension ref="A1:X96"/>
  <sheetViews>
    <sheetView topLeftCell="A45" zoomScale="86" zoomScaleNormal="40" workbookViewId="0">
      <selection activeCell="F27" sqref="F27"/>
    </sheetView>
  </sheetViews>
  <sheetFormatPr defaultColWidth="8.75" defaultRowHeight="16.5" x14ac:dyDescent="0.3"/>
  <cols>
    <col min="1" max="1" width="29" style="2" customWidth="1"/>
    <col min="2" max="7" width="23.625" style="2" customWidth="1"/>
    <col min="8" max="8" width="28.375" style="2" customWidth="1"/>
    <col min="9" max="24" width="23.625" style="2" customWidth="1"/>
    <col min="25" max="16384" width="8.75" style="2"/>
  </cols>
  <sheetData>
    <row r="1" spans="1:22" x14ac:dyDescent="0.3">
      <c r="A1" s="15" t="s">
        <v>0</v>
      </c>
    </row>
    <row r="2" spans="1:22" x14ac:dyDescent="0.3">
      <c r="A2" s="16" t="s">
        <v>1</v>
      </c>
      <c r="B2" s="64">
        <v>0</v>
      </c>
      <c r="C2" s="64">
        <v>1</v>
      </c>
      <c r="D2" s="64">
        <v>2</v>
      </c>
      <c r="E2" s="64">
        <v>3</v>
      </c>
      <c r="F2" s="64">
        <v>4</v>
      </c>
      <c r="G2" s="64">
        <v>5</v>
      </c>
      <c r="H2" s="64">
        <v>6</v>
      </c>
      <c r="I2" s="64">
        <v>7</v>
      </c>
      <c r="J2" s="64">
        <v>8</v>
      </c>
      <c r="K2" s="64">
        <v>9</v>
      </c>
      <c r="L2" s="64">
        <v>10</v>
      </c>
    </row>
    <row r="3" spans="1:22" x14ac:dyDescent="0.3">
      <c r="A3" s="16" t="s">
        <v>2</v>
      </c>
      <c r="B3" s="2">
        <f t="shared" ref="B3:G3" si="0">C3*(1-C10)</f>
        <v>8562.0311280000005</v>
      </c>
      <c r="C3" s="2">
        <f t="shared" si="0"/>
        <v>12231.473040000001</v>
      </c>
      <c r="D3" s="2">
        <f t="shared" si="0"/>
        <v>20385.788400000001</v>
      </c>
      <c r="E3" s="2">
        <f t="shared" si="0"/>
        <v>45301.752000000008</v>
      </c>
      <c r="F3" s="2">
        <f t="shared" si="0"/>
        <v>113254.38</v>
      </c>
      <c r="G3" s="2">
        <f t="shared" si="0"/>
        <v>377514.6</v>
      </c>
      <c r="H3" s="2">
        <v>629191</v>
      </c>
      <c r="I3" s="2">
        <f>H3+H3*I10</f>
        <v>773904.92999999993</v>
      </c>
      <c r="J3" s="2">
        <f>I3+I3*J10</f>
        <v>866773.52159999986</v>
      </c>
      <c r="K3" s="2">
        <f>J3+J3*K10</f>
        <v>936115.40332799987</v>
      </c>
      <c r="L3" s="2">
        <f>K3+K3*L10</f>
        <v>964198.86542783992</v>
      </c>
    </row>
    <row r="4" spans="1:22" x14ac:dyDescent="0.3">
      <c r="A4" s="16" t="s">
        <v>3</v>
      </c>
      <c r="B4" s="2">
        <f>$B$12*B3</f>
        <v>599342178.96000004</v>
      </c>
      <c r="C4" s="2">
        <f t="shared" ref="C4:L4" si="1">$B$12*C3</f>
        <v>856203112.80000007</v>
      </c>
      <c r="D4" s="2">
        <f t="shared" si="1"/>
        <v>1427005188</v>
      </c>
      <c r="E4" s="2">
        <f t="shared" si="1"/>
        <v>3171122640.0000005</v>
      </c>
      <c r="F4" s="2">
        <f t="shared" si="1"/>
        <v>7927806600</v>
      </c>
      <c r="G4" s="2">
        <f t="shared" si="1"/>
        <v>26426022000</v>
      </c>
      <c r="H4" s="2">
        <f t="shared" si="1"/>
        <v>44043370000</v>
      </c>
      <c r="I4" s="2">
        <f t="shared" si="1"/>
        <v>54173345099.999992</v>
      </c>
      <c r="J4" s="2">
        <f t="shared" si="1"/>
        <v>60674146511.999992</v>
      </c>
      <c r="K4" s="2">
        <f t="shared" si="1"/>
        <v>65528078232.959991</v>
      </c>
      <c r="L4" s="2">
        <f t="shared" si="1"/>
        <v>67493920579.948792</v>
      </c>
    </row>
    <row r="5" spans="1:22" x14ac:dyDescent="0.3">
      <c r="A5" s="16" t="s">
        <v>4</v>
      </c>
      <c r="B5" s="2">
        <f>B3*$B$24</f>
        <v>428101556.40000004</v>
      </c>
      <c r="C5" s="2">
        <f t="shared" ref="C5:L5" si="2">C3*$B$24</f>
        <v>611573652</v>
      </c>
      <c r="D5" s="2">
        <f t="shared" si="2"/>
        <v>1019289420.0000001</v>
      </c>
      <c r="E5" s="2">
        <f t="shared" si="2"/>
        <v>2265087600.0000005</v>
      </c>
      <c r="F5" s="2">
        <f t="shared" si="2"/>
        <v>5662719000</v>
      </c>
      <c r="G5" s="2">
        <f t="shared" si="2"/>
        <v>18875730000</v>
      </c>
      <c r="H5" s="2">
        <f t="shared" si="2"/>
        <v>31459550000</v>
      </c>
      <c r="I5" s="2">
        <f t="shared" si="2"/>
        <v>38695246500</v>
      </c>
      <c r="J5" s="2">
        <f t="shared" si="2"/>
        <v>43338676079.999992</v>
      </c>
      <c r="K5" s="2">
        <f t="shared" si="2"/>
        <v>46805770166.399994</v>
      </c>
      <c r="L5" s="2">
        <f t="shared" si="2"/>
        <v>48209943271.391998</v>
      </c>
    </row>
    <row r="6" spans="1:22" x14ac:dyDescent="0.3">
      <c r="A6" s="16" t="s">
        <v>5</v>
      </c>
      <c r="B6" s="2">
        <f>$B$13*B3*8</f>
        <v>14863686.038208</v>
      </c>
      <c r="C6" s="2">
        <f t="shared" ref="C6:L6" si="3">$B$13*C3*8</f>
        <v>21233837.197440002</v>
      </c>
      <c r="D6" s="2">
        <f t="shared" si="3"/>
        <v>35389728.6624</v>
      </c>
      <c r="E6" s="2">
        <f t="shared" si="3"/>
        <v>78643841.472000018</v>
      </c>
      <c r="F6" s="2">
        <f t="shared" si="3"/>
        <v>196609603.68000001</v>
      </c>
      <c r="G6" s="2">
        <f t="shared" si="3"/>
        <v>655365345.5999999</v>
      </c>
      <c r="H6" s="2">
        <f t="shared" si="3"/>
        <v>1092275576</v>
      </c>
      <c r="I6" s="2">
        <f t="shared" si="3"/>
        <v>1343498958.4799998</v>
      </c>
      <c r="J6" s="2">
        <f t="shared" si="3"/>
        <v>1504718833.4975998</v>
      </c>
      <c r="K6" s="2">
        <f t="shared" si="3"/>
        <v>1625096340.1774077</v>
      </c>
      <c r="L6" s="2">
        <f t="shared" si="3"/>
        <v>1673849230.38273</v>
      </c>
    </row>
    <row r="7" spans="1:22" x14ac:dyDescent="0.3">
      <c r="A7" s="16" t="s">
        <v>6</v>
      </c>
      <c r="B7" s="2">
        <f>$B$14*B3*8</f>
        <v>171240622.56</v>
      </c>
      <c r="C7" s="2">
        <f t="shared" ref="C7:L7" si="4">$B$14*C3*8</f>
        <v>244629460.80000001</v>
      </c>
      <c r="D7" s="2">
        <f t="shared" si="4"/>
        <v>407715768</v>
      </c>
      <c r="E7" s="2">
        <f t="shared" si="4"/>
        <v>906035040.00000012</v>
      </c>
      <c r="F7" s="2">
        <f t="shared" si="4"/>
        <v>2265087600</v>
      </c>
      <c r="G7" s="2">
        <f t="shared" si="4"/>
        <v>7550292000</v>
      </c>
      <c r="H7" s="2">
        <f t="shared" si="4"/>
        <v>12583820000</v>
      </c>
      <c r="I7" s="2">
        <f t="shared" si="4"/>
        <v>15478098599.999998</v>
      </c>
      <c r="J7" s="2">
        <f t="shared" si="4"/>
        <v>17335470431.999996</v>
      </c>
      <c r="K7" s="2">
        <f t="shared" si="4"/>
        <v>18722308066.559998</v>
      </c>
      <c r="L7" s="2">
        <f t="shared" si="4"/>
        <v>19283977308.556797</v>
      </c>
    </row>
    <row r="8" spans="1:22" x14ac:dyDescent="0.3">
      <c r="A8" s="16" t="s">
        <v>7</v>
      </c>
      <c r="B8" s="2">
        <v>500</v>
      </c>
      <c r="C8" s="2">
        <f>1.3*B8</f>
        <v>650</v>
      </c>
      <c r="D8" s="2">
        <f>C8*1.4</f>
        <v>909.99999999999989</v>
      </c>
      <c r="E8" s="2">
        <f>D8*1.5</f>
        <v>1364.9999999999998</v>
      </c>
      <c r="F8" s="2">
        <f>E8*1.6</f>
        <v>2183.9999999999995</v>
      </c>
      <c r="G8" s="2">
        <f>F8*1.7</f>
        <v>3712.7999999999993</v>
      </c>
      <c r="H8" s="2">
        <f>G8*1.2</f>
        <v>4455.3599999999988</v>
      </c>
      <c r="I8" s="2">
        <f>H8*1.02</f>
        <v>4544.4671999999991</v>
      </c>
      <c r="J8" s="2">
        <f>I8*1.03</f>
        <v>4680.8012159999989</v>
      </c>
      <c r="K8" s="2">
        <f>J8*1.01</f>
        <v>4727.6092281599986</v>
      </c>
      <c r="L8" s="2">
        <f>K8*1.01</f>
        <v>4774.8853204415982</v>
      </c>
    </row>
    <row r="9" spans="1:22" x14ac:dyDescent="0.3">
      <c r="A9" s="16" t="s">
        <v>8</v>
      </c>
      <c r="B9" s="2">
        <f t="shared" ref="B9:L9" si="5">$F$14*B3</f>
        <v>70756625.241792008</v>
      </c>
      <c r="C9" s="2">
        <f t="shared" si="5"/>
        <v>101080893.20256001</v>
      </c>
      <c r="D9" s="2">
        <f t="shared" si="5"/>
        <v>168468155.33760002</v>
      </c>
      <c r="E9" s="2">
        <f t="shared" si="5"/>
        <v>374373678.52800006</v>
      </c>
      <c r="F9" s="2">
        <f t="shared" si="5"/>
        <v>935934196.32000005</v>
      </c>
      <c r="G9" s="2">
        <f t="shared" si="5"/>
        <v>3119780654.3999996</v>
      </c>
      <c r="H9" s="2">
        <f t="shared" si="5"/>
        <v>5199634424</v>
      </c>
      <c r="I9" s="2">
        <f t="shared" si="5"/>
        <v>6395550341.5199995</v>
      </c>
      <c r="J9" s="2">
        <f t="shared" si="5"/>
        <v>7163016382.5023985</v>
      </c>
      <c r="K9" s="2">
        <f t="shared" si="5"/>
        <v>7736057693.1025906</v>
      </c>
      <c r="L9" s="2">
        <f t="shared" si="5"/>
        <v>7968139423.895669</v>
      </c>
    </row>
    <row r="10" spans="1:22" s="20" customFormat="1" x14ac:dyDescent="0.3">
      <c r="A10" s="19" t="s">
        <v>9</v>
      </c>
      <c r="C10" s="20">
        <v>0.3</v>
      </c>
      <c r="D10" s="20">
        <v>0.4</v>
      </c>
      <c r="E10" s="20">
        <v>0.55000000000000004</v>
      </c>
      <c r="F10" s="20">
        <v>0.6</v>
      </c>
      <c r="G10" s="20">
        <v>0.7</v>
      </c>
      <c r="H10" s="20">
        <v>0.4</v>
      </c>
      <c r="I10" s="20">
        <v>0.23</v>
      </c>
      <c r="J10" s="20">
        <v>0.12</v>
      </c>
      <c r="K10" s="20">
        <v>0.08</v>
      </c>
      <c r="L10" s="20">
        <v>0.03</v>
      </c>
    </row>
    <row r="12" spans="1:22" x14ac:dyDescent="0.3">
      <c r="A12" s="15" t="s">
        <v>10</v>
      </c>
      <c r="B12" s="2">
        <f>J23</f>
        <v>70000</v>
      </c>
      <c r="E12" s="15" t="s">
        <v>11</v>
      </c>
      <c r="F12" s="20">
        <v>0.2</v>
      </c>
      <c r="H12" s="15" t="s">
        <v>12</v>
      </c>
      <c r="K12" s="15" t="s">
        <v>13</v>
      </c>
    </row>
    <row r="13" spans="1:22" x14ac:dyDescent="0.3">
      <c r="A13" s="15" t="s">
        <v>14</v>
      </c>
      <c r="B13" s="2">
        <v>217</v>
      </c>
      <c r="E13" s="16" t="s">
        <v>15</v>
      </c>
      <c r="F13" s="2">
        <f>B24*55%</f>
        <v>27500.000000000004</v>
      </c>
      <c r="H13" s="16" t="s">
        <v>114</v>
      </c>
      <c r="I13" s="2">
        <f>(69729000 + 9148000)*10</f>
        <v>788770000</v>
      </c>
      <c r="K13" s="16" t="s">
        <v>16</v>
      </c>
      <c r="L13" s="2">
        <f>I17</f>
        <v>2091170000</v>
      </c>
    </row>
    <row r="14" spans="1:22" x14ac:dyDescent="0.3">
      <c r="A14" s="15" t="s">
        <v>17</v>
      </c>
      <c r="B14" s="2">
        <v>2500</v>
      </c>
      <c r="E14" s="2" t="s">
        <v>18</v>
      </c>
      <c r="F14" s="2">
        <f>J24</f>
        <v>8264</v>
      </c>
      <c r="H14" s="16" t="s">
        <v>115</v>
      </c>
      <c r="I14" s="2">
        <v>250000000</v>
      </c>
      <c r="K14" s="16" t="s">
        <v>19</v>
      </c>
      <c r="L14" s="34">
        <v>5.28E-2</v>
      </c>
      <c r="M14" s="34"/>
    </row>
    <row r="15" spans="1:22" x14ac:dyDescent="0.3">
      <c r="H15" s="16" t="s">
        <v>20</v>
      </c>
      <c r="I15" s="2">
        <f>4*13100000</f>
        <v>52400000</v>
      </c>
      <c r="K15" s="16" t="s">
        <v>1</v>
      </c>
      <c r="L15" s="2">
        <v>0</v>
      </c>
      <c r="M15" s="2">
        <v>1</v>
      </c>
      <c r="N15" s="2">
        <v>2</v>
      </c>
      <c r="O15" s="2">
        <v>3</v>
      </c>
      <c r="P15" s="2">
        <v>4</v>
      </c>
      <c r="Q15" s="2">
        <v>5</v>
      </c>
      <c r="R15" s="2">
        <v>6</v>
      </c>
      <c r="S15" s="2">
        <v>7</v>
      </c>
      <c r="T15" s="2">
        <v>8</v>
      </c>
      <c r="U15" s="2">
        <v>9</v>
      </c>
      <c r="V15" s="2">
        <v>10</v>
      </c>
    </row>
    <row r="16" spans="1:22" x14ac:dyDescent="0.3">
      <c r="H16" s="2" t="s">
        <v>21</v>
      </c>
      <c r="I16" s="2">
        <f>1000000000</f>
        <v>1000000000</v>
      </c>
      <c r="K16" s="16" t="s">
        <v>22</v>
      </c>
      <c r="L16" s="2">
        <f>L13</f>
        <v>2091170000</v>
      </c>
      <c r="M16" s="2">
        <f>L16-M17</f>
        <v>1882053000</v>
      </c>
      <c r="N16" s="2">
        <f>M16-N17</f>
        <v>1672936000</v>
      </c>
      <c r="O16" s="2">
        <f t="shared" ref="O16:V16" si="6">N16-O17</f>
        <v>1463819000</v>
      </c>
      <c r="P16" s="2">
        <f t="shared" si="6"/>
        <v>1254702000</v>
      </c>
      <c r="Q16" s="2">
        <f t="shared" si="6"/>
        <v>1045585000</v>
      </c>
      <c r="R16" s="2">
        <f t="shared" si="6"/>
        <v>836468000</v>
      </c>
      <c r="S16" s="2">
        <f t="shared" si="6"/>
        <v>627351000</v>
      </c>
      <c r="T16" s="2">
        <f t="shared" si="6"/>
        <v>418234000</v>
      </c>
      <c r="U16" s="2">
        <f t="shared" si="6"/>
        <v>209117000</v>
      </c>
      <c r="V16" s="2">
        <f t="shared" si="6"/>
        <v>0</v>
      </c>
    </row>
    <row r="17" spans="1:22" x14ac:dyDescent="0.3">
      <c r="H17" s="2" t="s">
        <v>23</v>
      </c>
      <c r="I17" s="2">
        <f>SUM(I13:I16)</f>
        <v>2091170000</v>
      </c>
      <c r="K17" s="16" t="s">
        <v>24</v>
      </c>
      <c r="M17" s="2">
        <f>$L$16/10</f>
        <v>209117000</v>
      </c>
      <c r="N17" s="2">
        <f t="shared" ref="N17:V17" si="7">$L$16/10</f>
        <v>209117000</v>
      </c>
      <c r="O17" s="2">
        <f t="shared" si="7"/>
        <v>209117000</v>
      </c>
      <c r="P17" s="2">
        <f t="shared" si="7"/>
        <v>209117000</v>
      </c>
      <c r="Q17" s="2">
        <f t="shared" si="7"/>
        <v>209117000</v>
      </c>
      <c r="R17" s="2">
        <f t="shared" si="7"/>
        <v>209117000</v>
      </c>
      <c r="S17" s="2">
        <f t="shared" si="7"/>
        <v>209117000</v>
      </c>
      <c r="T17" s="2">
        <f t="shared" si="7"/>
        <v>209117000</v>
      </c>
      <c r="U17" s="2">
        <f t="shared" si="7"/>
        <v>209117000</v>
      </c>
      <c r="V17" s="2">
        <f t="shared" si="7"/>
        <v>209117000</v>
      </c>
    </row>
    <row r="18" spans="1:22" x14ac:dyDescent="0.3">
      <c r="K18" s="16" t="s">
        <v>25</v>
      </c>
      <c r="M18" s="2">
        <f>L16*$L$14</f>
        <v>110413776</v>
      </c>
      <c r="N18" s="2">
        <f>M16*$L$14</f>
        <v>99372398.400000006</v>
      </c>
      <c r="O18" s="2">
        <f>N16*$L$14</f>
        <v>88331020.799999997</v>
      </c>
      <c r="P18" s="2">
        <f t="shared" ref="P18:V18" si="8">O16*$L$14</f>
        <v>77289643.200000003</v>
      </c>
      <c r="Q18" s="2">
        <f t="shared" si="8"/>
        <v>66248265.600000001</v>
      </c>
      <c r="R18" s="2">
        <f t="shared" si="8"/>
        <v>55206888</v>
      </c>
      <c r="S18" s="2">
        <f t="shared" si="8"/>
        <v>44165510.399999999</v>
      </c>
      <c r="T18" s="2">
        <f t="shared" si="8"/>
        <v>33124132.800000001</v>
      </c>
      <c r="U18" s="2">
        <f t="shared" si="8"/>
        <v>22082755.199999999</v>
      </c>
      <c r="V18" s="2">
        <f t="shared" si="8"/>
        <v>11041377.6</v>
      </c>
    </row>
    <row r="19" spans="1:22" x14ac:dyDescent="0.3">
      <c r="A19" s="15" t="s">
        <v>26</v>
      </c>
      <c r="E19" s="15" t="s">
        <v>27</v>
      </c>
      <c r="I19" s="24" t="s">
        <v>28</v>
      </c>
      <c r="J19" s="25">
        <v>17500</v>
      </c>
    </row>
    <row r="20" spans="1:22" x14ac:dyDescent="0.3">
      <c r="A20" s="16" t="s">
        <v>29</v>
      </c>
      <c r="B20" s="2">
        <f>(13310+9940+10105)/3</f>
        <v>11118.333333333334</v>
      </c>
      <c r="E20" s="16" t="s">
        <v>30</v>
      </c>
      <c r="F20" s="2">
        <v>6</v>
      </c>
      <c r="I20" s="24" t="s">
        <v>31</v>
      </c>
      <c r="J20" s="25">
        <v>50000</v>
      </c>
    </row>
    <row r="21" spans="1:22" x14ac:dyDescent="0.3">
      <c r="A21" s="16" t="s">
        <v>32</v>
      </c>
      <c r="B21" s="2">
        <f>B20*8</f>
        <v>88946.666666666672</v>
      </c>
      <c r="E21" s="16" t="s">
        <v>33</v>
      </c>
      <c r="F21" s="2">
        <v>60000000</v>
      </c>
      <c r="I21" s="26" t="s">
        <v>34</v>
      </c>
      <c r="J21" s="27">
        <v>10000</v>
      </c>
    </row>
    <row r="22" spans="1:22" x14ac:dyDescent="0.3">
      <c r="A22" s="16" t="s">
        <v>35</v>
      </c>
      <c r="B22" s="18">
        <v>0</v>
      </c>
      <c r="E22" s="16" t="s">
        <v>36</v>
      </c>
      <c r="F22" s="2">
        <f>F20*F21</f>
        <v>360000000</v>
      </c>
      <c r="I22" s="26" t="s">
        <v>98</v>
      </c>
      <c r="J22" s="27">
        <f>217*8</f>
        <v>1736</v>
      </c>
    </row>
    <row r="23" spans="1:22" x14ac:dyDescent="0.3">
      <c r="A23" s="16" t="s">
        <v>37</v>
      </c>
      <c r="B23" s="2">
        <f>B20-B20*B22</f>
        <v>11118.333333333334</v>
      </c>
      <c r="I23" s="28" t="s">
        <v>38</v>
      </c>
      <c r="J23" s="29">
        <f>J19*4</f>
        <v>70000</v>
      </c>
    </row>
    <row r="24" spans="1:22" x14ac:dyDescent="0.3">
      <c r="A24" s="16" t="s">
        <v>39</v>
      </c>
      <c r="B24" s="2">
        <f>J20</f>
        <v>50000</v>
      </c>
      <c r="I24" s="30" t="s">
        <v>40</v>
      </c>
      <c r="J24" s="31">
        <f>J23-J22-J21-J20</f>
        <v>8264</v>
      </c>
    </row>
    <row r="25" spans="1:22" x14ac:dyDescent="0.3">
      <c r="I25" s="32" t="s">
        <v>41</v>
      </c>
      <c r="J25" s="33">
        <f>J24/J23</f>
        <v>0.11805714285714286</v>
      </c>
    </row>
    <row r="26" spans="1:22" x14ac:dyDescent="0.3">
      <c r="A26" s="15" t="s">
        <v>42</v>
      </c>
      <c r="E26" s="75"/>
    </row>
    <row r="27" spans="1:22" x14ac:dyDescent="0.3">
      <c r="A27" s="16" t="s">
        <v>43</v>
      </c>
      <c r="B27" s="3">
        <v>219693</v>
      </c>
    </row>
    <row r="28" spans="1:22" x14ac:dyDescent="0.3">
      <c r="A28" s="16" t="s">
        <v>44</v>
      </c>
      <c r="B28" s="5">
        <v>537059</v>
      </c>
    </row>
    <row r="29" spans="1:22" x14ac:dyDescent="0.3">
      <c r="A29" s="16" t="s">
        <v>45</v>
      </c>
      <c r="B29" s="5">
        <v>78837</v>
      </c>
    </row>
    <row r="30" spans="1:22" x14ac:dyDescent="0.3">
      <c r="A30" s="16" t="s">
        <v>46</v>
      </c>
      <c r="B30" s="7">
        <v>166608</v>
      </c>
    </row>
    <row r="31" spans="1:22" x14ac:dyDescent="0.3">
      <c r="A31" s="16" t="s">
        <v>47</v>
      </c>
      <c r="B31" s="2">
        <f>SUM(B27:B30)</f>
        <v>1002197</v>
      </c>
    </row>
    <row r="32" spans="1:22" x14ac:dyDescent="0.3">
      <c r="A32" s="16" t="s">
        <v>48</v>
      </c>
      <c r="B32" s="2">
        <f>12*B31</f>
        <v>12026364</v>
      </c>
    </row>
    <row r="33" spans="1:24" x14ac:dyDescent="0.3">
      <c r="A33" s="1"/>
    </row>
    <row r="34" spans="1:24" x14ac:dyDescent="0.3">
      <c r="C34" s="2">
        <f>I13*10%</f>
        <v>78877000</v>
      </c>
    </row>
    <row r="35" spans="1:24" x14ac:dyDescent="0.3">
      <c r="A35" s="15" t="s">
        <v>49</v>
      </c>
      <c r="C35" s="2">
        <f>I15*10%</f>
        <v>5240000</v>
      </c>
      <c r="D35" s="18"/>
      <c r="F35" s="22"/>
    </row>
    <row r="36" spans="1:24" x14ac:dyDescent="0.3">
      <c r="A36" s="17" t="s">
        <v>50</v>
      </c>
      <c r="B36" s="18">
        <v>0</v>
      </c>
      <c r="C36" s="76">
        <v>1</v>
      </c>
      <c r="D36" s="76">
        <v>2</v>
      </c>
      <c r="E36" s="76">
        <v>3</v>
      </c>
      <c r="F36" s="76">
        <v>4</v>
      </c>
      <c r="G36" s="76">
        <v>5</v>
      </c>
      <c r="H36" s="76">
        <v>6</v>
      </c>
      <c r="I36" s="76">
        <v>7</v>
      </c>
      <c r="J36" s="76">
        <v>8</v>
      </c>
      <c r="K36" s="76">
        <v>9</v>
      </c>
      <c r="L36" s="76">
        <v>10</v>
      </c>
    </row>
    <row r="37" spans="1:24" s="23" customFormat="1" x14ac:dyDescent="0.3">
      <c r="A37" s="67" t="s">
        <v>51</v>
      </c>
      <c r="B37" s="68">
        <v>0</v>
      </c>
      <c r="C37" s="23">
        <f>$C$34</f>
        <v>78877000</v>
      </c>
      <c r="D37" s="23">
        <f t="shared" ref="D37:L37" si="9">$C$34</f>
        <v>78877000</v>
      </c>
      <c r="E37" s="23">
        <f t="shared" si="9"/>
        <v>78877000</v>
      </c>
      <c r="F37" s="23">
        <f t="shared" si="9"/>
        <v>78877000</v>
      </c>
      <c r="G37" s="23">
        <f t="shared" si="9"/>
        <v>78877000</v>
      </c>
      <c r="H37" s="23">
        <f t="shared" si="9"/>
        <v>78877000</v>
      </c>
      <c r="I37" s="23">
        <f t="shared" si="9"/>
        <v>78877000</v>
      </c>
      <c r="J37" s="23">
        <f t="shared" si="9"/>
        <v>78877000</v>
      </c>
      <c r="K37" s="23">
        <f t="shared" si="9"/>
        <v>78877000</v>
      </c>
      <c r="L37" s="23">
        <f t="shared" si="9"/>
        <v>78877000</v>
      </c>
    </row>
    <row r="38" spans="1:24" s="23" customFormat="1" x14ac:dyDescent="0.3">
      <c r="A38" s="67" t="s">
        <v>52</v>
      </c>
      <c r="B38" s="68">
        <v>0</v>
      </c>
      <c r="C38" s="23">
        <f>$C$35</f>
        <v>5240000</v>
      </c>
      <c r="D38" s="23">
        <f t="shared" ref="D38:L38" si="10">$C$35</f>
        <v>5240000</v>
      </c>
      <c r="E38" s="23">
        <f t="shared" si="10"/>
        <v>5240000</v>
      </c>
      <c r="F38" s="23">
        <f t="shared" si="10"/>
        <v>5240000</v>
      </c>
      <c r="G38" s="23">
        <f t="shared" si="10"/>
        <v>5240000</v>
      </c>
      <c r="H38" s="23">
        <f t="shared" si="10"/>
        <v>5240000</v>
      </c>
      <c r="I38" s="23">
        <f t="shared" si="10"/>
        <v>5240000</v>
      </c>
      <c r="J38" s="23">
        <f t="shared" si="10"/>
        <v>5240000</v>
      </c>
      <c r="K38" s="23">
        <f t="shared" si="10"/>
        <v>5240000</v>
      </c>
      <c r="L38" s="23">
        <f t="shared" si="10"/>
        <v>5240000</v>
      </c>
    </row>
    <row r="39" spans="1:24" s="23" customFormat="1" x14ac:dyDescent="0.3">
      <c r="A39" s="23" t="s">
        <v>53</v>
      </c>
      <c r="B39" s="23">
        <v>0</v>
      </c>
      <c r="C39" s="23">
        <f t="shared" ref="C39:L39" si="11">C37+C38</f>
        <v>84117000</v>
      </c>
      <c r="D39" s="23">
        <f t="shared" si="11"/>
        <v>84117000</v>
      </c>
      <c r="E39" s="23">
        <f t="shared" si="11"/>
        <v>84117000</v>
      </c>
      <c r="F39" s="23">
        <f t="shared" si="11"/>
        <v>84117000</v>
      </c>
      <c r="G39" s="23">
        <f t="shared" si="11"/>
        <v>84117000</v>
      </c>
      <c r="H39" s="23">
        <f t="shared" si="11"/>
        <v>84117000</v>
      </c>
      <c r="I39" s="23">
        <f t="shared" si="11"/>
        <v>84117000</v>
      </c>
      <c r="J39" s="23">
        <f t="shared" si="11"/>
        <v>84117000</v>
      </c>
      <c r="K39" s="23">
        <f t="shared" si="11"/>
        <v>84117000</v>
      </c>
      <c r="L39" s="23">
        <f t="shared" si="11"/>
        <v>84117000</v>
      </c>
    </row>
    <row r="40" spans="1:24" x14ac:dyDescent="0.3">
      <c r="L40" s="21"/>
    </row>
    <row r="41" spans="1:24" x14ac:dyDescent="0.3">
      <c r="A41" s="1" t="s">
        <v>54</v>
      </c>
      <c r="B41" s="1" t="s">
        <v>55</v>
      </c>
      <c r="E41" s="15" t="s">
        <v>56</v>
      </c>
    </row>
    <row r="42" spans="1:24" x14ac:dyDescent="0.3">
      <c r="A42" s="2">
        <v>200000</v>
      </c>
      <c r="B42" s="2">
        <v>300000</v>
      </c>
      <c r="E42" s="16" t="s">
        <v>57</v>
      </c>
      <c r="F42" s="2">
        <v>21000000</v>
      </c>
    </row>
    <row r="43" spans="1:24" x14ac:dyDescent="0.3">
      <c r="E43" s="16" t="s">
        <v>48</v>
      </c>
      <c r="F43" s="2">
        <f>F42*12</f>
        <v>252000000</v>
      </c>
    </row>
    <row r="46" spans="1:24" x14ac:dyDescent="0.3">
      <c r="A46" s="2" t="s">
        <v>58</v>
      </c>
      <c r="F46" s="2" t="s">
        <v>59</v>
      </c>
      <c r="K46" s="2" t="s">
        <v>60</v>
      </c>
      <c r="P46" s="2" t="s">
        <v>61</v>
      </c>
      <c r="U46" s="2" t="s">
        <v>62</v>
      </c>
    </row>
    <row r="47" spans="1:24" x14ac:dyDescent="0.3">
      <c r="A47" s="43"/>
      <c r="B47" s="94" t="s">
        <v>63</v>
      </c>
      <c r="C47" s="94"/>
      <c r="D47" s="44"/>
      <c r="F47" s="8"/>
      <c r="G47" s="92" t="s">
        <v>63</v>
      </c>
      <c r="H47" s="92"/>
      <c r="I47" s="9"/>
      <c r="K47" s="8"/>
      <c r="L47" s="92" t="s">
        <v>63</v>
      </c>
      <c r="M47" s="92"/>
      <c r="N47" s="9"/>
      <c r="P47" s="8"/>
      <c r="Q47" s="92" t="s">
        <v>63</v>
      </c>
      <c r="R47" s="92"/>
      <c r="S47" s="9"/>
      <c r="U47" s="8"/>
      <c r="V47" s="92" t="s">
        <v>63</v>
      </c>
      <c r="W47" s="92"/>
      <c r="X47" s="9"/>
    </row>
    <row r="48" spans="1:24" x14ac:dyDescent="0.3">
      <c r="A48" s="45"/>
      <c r="B48" s="95" t="s">
        <v>64</v>
      </c>
      <c r="C48" s="95"/>
      <c r="D48" s="46"/>
      <c r="F48" s="10"/>
      <c r="G48" s="93" t="s">
        <v>64</v>
      </c>
      <c r="H48" s="93"/>
      <c r="I48" s="11"/>
      <c r="K48" s="10"/>
      <c r="L48" s="93" t="s">
        <v>64</v>
      </c>
      <c r="M48" s="93"/>
      <c r="N48" s="11"/>
      <c r="P48" s="10"/>
      <c r="Q48" s="93" t="s">
        <v>64</v>
      </c>
      <c r="R48" s="93"/>
      <c r="S48" s="11"/>
      <c r="U48" s="10"/>
      <c r="V48" s="93" t="s">
        <v>64</v>
      </c>
      <c r="W48" s="93"/>
      <c r="X48" s="11"/>
    </row>
    <row r="49" spans="1:24" x14ac:dyDescent="0.3">
      <c r="A49" s="45"/>
      <c r="B49" s="95" t="s">
        <v>65</v>
      </c>
      <c r="C49" s="95"/>
      <c r="D49" s="46"/>
      <c r="F49" s="10"/>
      <c r="G49" s="93" t="s">
        <v>65</v>
      </c>
      <c r="H49" s="93"/>
      <c r="I49" s="11"/>
      <c r="K49" s="10"/>
      <c r="L49" s="93" t="s">
        <v>65</v>
      </c>
      <c r="M49" s="93"/>
      <c r="N49" s="11"/>
      <c r="P49" s="10"/>
      <c r="Q49" s="93" t="s">
        <v>65</v>
      </c>
      <c r="R49" s="93"/>
      <c r="S49" s="11"/>
      <c r="U49" s="10"/>
      <c r="V49" s="93" t="s">
        <v>65</v>
      </c>
      <c r="W49" s="93"/>
      <c r="X49" s="11"/>
    </row>
    <row r="50" spans="1:24" x14ac:dyDescent="0.3">
      <c r="A50" s="54" t="s">
        <v>100</v>
      </c>
      <c r="B50" s="55"/>
      <c r="C50" s="55">
        <f>D4</f>
        <v>1427005188</v>
      </c>
      <c r="D50" s="56"/>
      <c r="F50" s="47" t="s">
        <v>66</v>
      </c>
      <c r="G50" s="48"/>
      <c r="H50" s="48">
        <f>F4</f>
        <v>7927806600</v>
      </c>
      <c r="I50" s="40"/>
      <c r="K50" s="12" t="s">
        <v>66</v>
      </c>
      <c r="M50" s="2">
        <f>H4</f>
        <v>44043370000</v>
      </c>
      <c r="N50" s="5"/>
      <c r="P50" s="12" t="s">
        <v>66</v>
      </c>
      <c r="R50" s="2">
        <f>J4</f>
        <v>60674146511.999992</v>
      </c>
      <c r="S50" s="5"/>
      <c r="U50" s="12" t="s">
        <v>66</v>
      </c>
      <c r="W50" s="2">
        <f>L4</f>
        <v>67493920579.948792</v>
      </c>
      <c r="X50" s="5"/>
    </row>
    <row r="51" spans="1:24" x14ac:dyDescent="0.3">
      <c r="A51" s="57" t="s">
        <v>67</v>
      </c>
      <c r="B51" s="42"/>
      <c r="C51" s="42"/>
      <c r="D51" s="58"/>
      <c r="F51" s="47" t="s">
        <v>67</v>
      </c>
      <c r="G51" s="48"/>
      <c r="H51" s="48"/>
      <c r="I51" s="40"/>
      <c r="K51" s="12" t="s">
        <v>67</v>
      </c>
      <c r="N51" s="5"/>
      <c r="P51" s="12" t="s">
        <v>67</v>
      </c>
      <c r="S51" s="5"/>
      <c r="U51" s="12" t="s">
        <v>67</v>
      </c>
      <c r="X51" s="5"/>
    </row>
    <row r="52" spans="1:24" x14ac:dyDescent="0.3">
      <c r="A52" s="59"/>
      <c r="B52" s="42" t="s">
        <v>68</v>
      </c>
      <c r="C52" s="42">
        <f>B32</f>
        <v>12026364</v>
      </c>
      <c r="D52" s="58"/>
      <c r="F52" s="39"/>
      <c r="G52" s="48" t="s">
        <v>68</v>
      </c>
      <c r="H52" s="48">
        <f>B32</f>
        <v>12026364</v>
      </c>
      <c r="I52" s="40"/>
      <c r="K52" s="4"/>
      <c r="L52" s="2" t="s">
        <v>68</v>
      </c>
      <c r="M52" s="2">
        <f>$B$32</f>
        <v>12026364</v>
      </c>
      <c r="N52" s="5"/>
      <c r="P52" s="4"/>
      <c r="Q52" s="2" t="s">
        <v>68</v>
      </c>
      <c r="R52" s="2">
        <f>$B$32</f>
        <v>12026364</v>
      </c>
      <c r="S52" s="5"/>
      <c r="U52" s="4"/>
      <c r="V52" s="2" t="s">
        <v>68</v>
      </c>
      <c r="W52" s="2">
        <f>$B$32</f>
        <v>12026364</v>
      </c>
      <c r="X52" s="5"/>
    </row>
    <row r="53" spans="1:24" x14ac:dyDescent="0.3">
      <c r="A53" s="59"/>
      <c r="B53" s="42" t="s">
        <v>69</v>
      </c>
      <c r="C53" s="42">
        <f>D5</f>
        <v>1019289420.0000001</v>
      </c>
      <c r="D53" s="58"/>
      <c r="F53" s="39"/>
      <c r="G53" s="48" t="s">
        <v>69</v>
      </c>
      <c r="H53" s="48">
        <f>F5</f>
        <v>5662719000</v>
      </c>
      <c r="I53" s="40"/>
      <c r="K53" s="4"/>
      <c r="L53" s="2" t="s">
        <v>69</v>
      </c>
      <c r="M53" s="2">
        <f>H5</f>
        <v>31459550000</v>
      </c>
      <c r="N53" s="5"/>
      <c r="P53" s="4"/>
      <c r="Q53" s="2" t="s">
        <v>69</v>
      </c>
      <c r="R53" s="2">
        <f>J5</f>
        <v>43338676079.999992</v>
      </c>
      <c r="S53" s="5"/>
      <c r="U53" s="4"/>
      <c r="V53" s="2" t="s">
        <v>69</v>
      </c>
      <c r="W53" s="2">
        <f>L5</f>
        <v>48209943271.391998</v>
      </c>
      <c r="X53" s="5"/>
    </row>
    <row r="54" spans="1:24" x14ac:dyDescent="0.3">
      <c r="A54" s="59"/>
      <c r="B54" s="42" t="s">
        <v>70</v>
      </c>
      <c r="C54" s="42">
        <f>D6</f>
        <v>35389728.6624</v>
      </c>
      <c r="D54" s="58"/>
      <c r="F54" s="39"/>
      <c r="G54" s="48" t="s">
        <v>70</v>
      </c>
      <c r="H54" s="48">
        <f>F6</f>
        <v>196609603.68000001</v>
      </c>
      <c r="I54" s="40"/>
      <c r="K54" s="4"/>
      <c r="L54" s="2" t="s">
        <v>70</v>
      </c>
      <c r="M54" s="2">
        <f>H6</f>
        <v>1092275576</v>
      </c>
      <c r="N54" s="5"/>
      <c r="P54" s="4"/>
      <c r="Q54" s="2" t="s">
        <v>70</v>
      </c>
      <c r="R54" s="2">
        <f>J6</f>
        <v>1504718833.4975998</v>
      </c>
      <c r="S54" s="5"/>
      <c r="U54" s="4"/>
      <c r="V54" s="2" t="s">
        <v>70</v>
      </c>
      <c r="W54" s="2">
        <f>L6</f>
        <v>1673849230.38273</v>
      </c>
      <c r="X54" s="5"/>
    </row>
    <row r="55" spans="1:24" x14ac:dyDescent="0.3">
      <c r="A55" s="59"/>
      <c r="B55" s="42" t="s">
        <v>71</v>
      </c>
      <c r="C55" s="42">
        <f>D7</f>
        <v>407715768</v>
      </c>
      <c r="D55" s="58"/>
      <c r="F55" s="39"/>
      <c r="G55" s="48" t="s">
        <v>71</v>
      </c>
      <c r="H55" s="48">
        <f>F7</f>
        <v>2265087600</v>
      </c>
      <c r="I55" s="40"/>
      <c r="K55" s="4"/>
      <c r="L55" s="2" t="s">
        <v>71</v>
      </c>
      <c r="M55" s="2">
        <f>H7</f>
        <v>12583820000</v>
      </c>
      <c r="N55" s="5"/>
      <c r="P55" s="4"/>
      <c r="Q55" s="2" t="s">
        <v>71</v>
      </c>
      <c r="R55" s="2">
        <f>J7</f>
        <v>17335470431.999996</v>
      </c>
      <c r="S55" s="5"/>
      <c r="U55" s="4"/>
      <c r="V55" s="2" t="s">
        <v>71</v>
      </c>
      <c r="W55" s="2">
        <f>L7</f>
        <v>19283977308.556797</v>
      </c>
      <c r="X55" s="5"/>
    </row>
    <row r="56" spans="1:24" x14ac:dyDescent="0.3">
      <c r="A56" s="59"/>
      <c r="B56" s="41" t="s">
        <v>72</v>
      </c>
      <c r="C56" s="42"/>
      <c r="D56" s="58">
        <f>SUM(C52:C55)</f>
        <v>1474421280.6624002</v>
      </c>
      <c r="F56" s="39"/>
      <c r="G56" s="49" t="s">
        <v>72</v>
      </c>
      <c r="H56" s="48"/>
      <c r="I56" s="40">
        <f>SUM(H52:H55)</f>
        <v>8136442567.6800003</v>
      </c>
      <c r="K56" s="4"/>
      <c r="L56" s="1" t="s">
        <v>72</v>
      </c>
      <c r="N56" s="5">
        <f>SUM(M52:M55)</f>
        <v>45147671940</v>
      </c>
      <c r="P56" s="4"/>
      <c r="Q56" s="1" t="s">
        <v>72</v>
      </c>
      <c r="S56" s="5">
        <f>SUM(R52:R55)</f>
        <v>62190891709.497589</v>
      </c>
      <c r="U56" s="4"/>
      <c r="V56" s="1" t="s">
        <v>72</v>
      </c>
      <c r="X56" s="5">
        <f>SUM(W52:W55)</f>
        <v>69179796174.331528</v>
      </c>
    </row>
    <row r="57" spans="1:24" x14ac:dyDescent="0.3">
      <c r="A57" s="57"/>
      <c r="B57" s="41" t="s">
        <v>73</v>
      </c>
      <c r="C57" s="41"/>
      <c r="D57" s="58">
        <f>C50-D56</f>
        <v>-47416092.662400246</v>
      </c>
      <c r="F57" s="47"/>
      <c r="G57" s="49" t="s">
        <v>73</v>
      </c>
      <c r="H57" s="49"/>
      <c r="I57" s="40">
        <f>H50-I56</f>
        <v>-208635967.68000031</v>
      </c>
      <c r="K57" s="12"/>
      <c r="L57" s="1" t="s">
        <v>73</v>
      </c>
      <c r="M57" s="1"/>
      <c r="N57" s="5">
        <f>M50-N56</f>
        <v>-1104301940</v>
      </c>
      <c r="P57" s="12"/>
      <c r="Q57" s="1" t="s">
        <v>73</v>
      </c>
      <c r="R57" s="1"/>
      <c r="S57" s="5">
        <f>R50-S56</f>
        <v>-1516745197.4975967</v>
      </c>
      <c r="U57" s="12"/>
      <c r="V57" s="1" t="s">
        <v>73</v>
      </c>
      <c r="W57" s="1"/>
      <c r="X57" s="5">
        <f>W50-X56</f>
        <v>-1685875594.3827362</v>
      </c>
    </row>
    <row r="58" spans="1:24" x14ac:dyDescent="0.3">
      <c r="A58" s="57" t="s">
        <v>74</v>
      </c>
      <c r="B58" s="42"/>
      <c r="C58" s="42"/>
      <c r="D58" s="58"/>
      <c r="F58" s="47" t="s">
        <v>74</v>
      </c>
      <c r="G58" s="48"/>
      <c r="H58" s="48"/>
      <c r="I58" s="40"/>
      <c r="K58" s="12" t="s">
        <v>74</v>
      </c>
      <c r="N58" s="5"/>
      <c r="P58" s="12" t="s">
        <v>74</v>
      </c>
      <c r="S58" s="5"/>
      <c r="U58" s="12" t="s">
        <v>74</v>
      </c>
      <c r="X58" s="5"/>
    </row>
    <row r="59" spans="1:24" x14ac:dyDescent="0.3">
      <c r="A59" s="59"/>
      <c r="B59" s="42" t="s">
        <v>75</v>
      </c>
      <c r="C59" s="42">
        <f>D9</f>
        <v>168468155.33760002</v>
      </c>
      <c r="D59" s="58"/>
      <c r="F59" s="39"/>
      <c r="G59" s="48" t="s">
        <v>75</v>
      </c>
      <c r="H59" s="48">
        <f>F9</f>
        <v>935934196.32000005</v>
      </c>
      <c r="I59" s="40"/>
      <c r="K59" s="4"/>
      <c r="L59" s="2" t="s">
        <v>75</v>
      </c>
      <c r="M59" s="2">
        <f>H9</f>
        <v>5199634424</v>
      </c>
      <c r="N59" s="5"/>
      <c r="P59" s="4"/>
      <c r="Q59" s="2" t="s">
        <v>75</v>
      </c>
      <c r="R59" s="2">
        <f>J9</f>
        <v>7163016382.5023985</v>
      </c>
      <c r="S59" s="5"/>
      <c r="U59" s="4"/>
      <c r="V59" s="2" t="s">
        <v>75</v>
      </c>
      <c r="W59" s="2">
        <f>L9</f>
        <v>7968139423.895669</v>
      </c>
      <c r="X59" s="5"/>
    </row>
    <row r="60" spans="1:24" x14ac:dyDescent="0.3">
      <c r="A60" s="57" t="s">
        <v>76</v>
      </c>
      <c r="B60" s="42"/>
      <c r="C60" s="42"/>
      <c r="D60" s="58"/>
      <c r="F60" s="47" t="s">
        <v>76</v>
      </c>
      <c r="G60" s="48"/>
      <c r="H60" s="48"/>
      <c r="I60" s="40"/>
      <c r="K60" s="12" t="s">
        <v>76</v>
      </c>
      <c r="N60" s="5"/>
      <c r="P60" s="12" t="s">
        <v>76</v>
      </c>
      <c r="S60" s="5"/>
      <c r="U60" s="12" t="s">
        <v>76</v>
      </c>
      <c r="X60" s="5"/>
    </row>
    <row r="61" spans="1:24" x14ac:dyDescent="0.3">
      <c r="A61" s="57"/>
      <c r="B61" s="42" t="s">
        <v>99</v>
      </c>
      <c r="C61" s="42">
        <f>N18</f>
        <v>99372398.400000006</v>
      </c>
      <c r="D61" s="58"/>
      <c r="F61" s="47"/>
      <c r="G61" s="48" t="s">
        <v>99</v>
      </c>
      <c r="H61" s="48">
        <f>P18</f>
        <v>77289643.200000003</v>
      </c>
      <c r="I61" s="40"/>
      <c r="K61" s="12"/>
      <c r="L61" s="2" t="s">
        <v>99</v>
      </c>
      <c r="M61" s="2">
        <f>R18</f>
        <v>55206888</v>
      </c>
      <c r="N61" s="5"/>
      <c r="P61" s="12"/>
      <c r="Q61" s="2" t="s">
        <v>77</v>
      </c>
      <c r="R61" s="2">
        <f>T18</f>
        <v>33124132.800000001</v>
      </c>
      <c r="S61" s="5"/>
      <c r="U61" s="12"/>
      <c r="V61" s="2" t="s">
        <v>77</v>
      </c>
      <c r="W61" s="2">
        <f>V18</f>
        <v>11041377.6</v>
      </c>
      <c r="X61" s="5"/>
    </row>
    <row r="62" spans="1:24" x14ac:dyDescent="0.3">
      <c r="A62" s="59"/>
      <c r="B62" s="42" t="s">
        <v>78</v>
      </c>
      <c r="C62" s="42">
        <f>F22</f>
        <v>360000000</v>
      </c>
      <c r="D62" s="58"/>
      <c r="F62" s="39"/>
      <c r="G62" s="48" t="s">
        <v>78</v>
      </c>
      <c r="H62" s="48">
        <f>$F$22</f>
        <v>360000000</v>
      </c>
      <c r="I62" s="40"/>
      <c r="K62" s="4"/>
      <c r="L62" s="2" t="s">
        <v>78</v>
      </c>
      <c r="M62" s="2">
        <f>$F$22</f>
        <v>360000000</v>
      </c>
      <c r="N62" s="5"/>
      <c r="P62" s="4"/>
      <c r="Q62" s="2" t="s">
        <v>78</v>
      </c>
      <c r="R62" s="2">
        <f>$F$22</f>
        <v>360000000</v>
      </c>
      <c r="S62" s="5"/>
      <c r="U62" s="4"/>
      <c r="V62" s="2" t="s">
        <v>78</v>
      </c>
      <c r="W62" s="2">
        <f>$F$22</f>
        <v>360000000</v>
      </c>
      <c r="X62" s="5"/>
    </row>
    <row r="63" spans="1:24" x14ac:dyDescent="0.3">
      <c r="A63" s="59"/>
      <c r="B63" s="42" t="s">
        <v>79</v>
      </c>
      <c r="C63" s="42">
        <f>C59*0.15</f>
        <v>25270223.300640002</v>
      </c>
      <c r="D63" s="58"/>
      <c r="F63" s="39"/>
      <c r="G63" s="48" t="s">
        <v>79</v>
      </c>
      <c r="H63" s="48">
        <f>H59*0.15</f>
        <v>140390129.44800001</v>
      </c>
      <c r="I63" s="40"/>
      <c r="K63" s="4"/>
      <c r="L63" s="2" t="s">
        <v>79</v>
      </c>
      <c r="M63" s="2">
        <f>M59*0.15</f>
        <v>779945163.60000002</v>
      </c>
      <c r="N63" s="5"/>
      <c r="P63" s="4"/>
      <c r="Q63" s="2" t="s">
        <v>79</v>
      </c>
      <c r="R63" s="2">
        <f>R59*0.15</f>
        <v>1074452457.3753598</v>
      </c>
      <c r="S63" s="5"/>
      <c r="U63" s="4"/>
      <c r="V63" s="2" t="s">
        <v>79</v>
      </c>
      <c r="W63" s="2">
        <f>W59*0.15</f>
        <v>1195220913.5843503</v>
      </c>
      <c r="X63" s="5"/>
    </row>
    <row r="64" spans="1:24" x14ac:dyDescent="0.3">
      <c r="A64" s="59"/>
      <c r="B64" s="42" t="s">
        <v>80</v>
      </c>
      <c r="C64" s="42">
        <f>F43</f>
        <v>252000000</v>
      </c>
      <c r="D64" s="58"/>
      <c r="F64" s="39"/>
      <c r="G64" s="48" t="s">
        <v>80</v>
      </c>
      <c r="H64" s="48">
        <f>$F$43</f>
        <v>252000000</v>
      </c>
      <c r="I64" s="40"/>
      <c r="K64" s="4"/>
      <c r="L64" s="2" t="s">
        <v>80</v>
      </c>
      <c r="M64" s="2">
        <f>$F$43</f>
        <v>252000000</v>
      </c>
      <c r="N64" s="5"/>
      <c r="P64" s="4"/>
      <c r="Q64" s="2" t="s">
        <v>80</v>
      </c>
      <c r="R64" s="2">
        <f>$F$43</f>
        <v>252000000</v>
      </c>
      <c r="S64" s="5"/>
      <c r="U64" s="4"/>
      <c r="V64" s="2" t="s">
        <v>80</v>
      </c>
      <c r="W64" s="2">
        <f>$F$43</f>
        <v>252000000</v>
      </c>
      <c r="X64" s="5"/>
    </row>
    <row r="65" spans="1:24" x14ac:dyDescent="0.3">
      <c r="A65" s="59"/>
      <c r="B65" s="42" t="s">
        <v>116</v>
      </c>
      <c r="C65" s="42">
        <f>A42+B42</f>
        <v>500000</v>
      </c>
      <c r="D65" s="58"/>
      <c r="F65" s="39"/>
      <c r="G65" s="42" t="s">
        <v>116</v>
      </c>
      <c r="H65" s="48">
        <f>$A$42+$B$42</f>
        <v>500000</v>
      </c>
      <c r="I65" s="40"/>
      <c r="K65" s="4"/>
      <c r="L65" s="42" t="s">
        <v>116</v>
      </c>
      <c r="M65" s="2">
        <f>$A$42+$B$42</f>
        <v>500000</v>
      </c>
      <c r="N65" s="5"/>
      <c r="P65" s="4"/>
      <c r="Q65" s="42" t="s">
        <v>116</v>
      </c>
      <c r="R65" s="2">
        <f>$A$42+$B$42</f>
        <v>500000</v>
      </c>
      <c r="S65" s="5"/>
      <c r="U65" s="4"/>
      <c r="V65" s="42" t="s">
        <v>116</v>
      </c>
      <c r="W65" s="2">
        <f>$A$42+$B$42</f>
        <v>500000</v>
      </c>
      <c r="X65" s="5"/>
    </row>
    <row r="66" spans="1:24" x14ac:dyDescent="0.3">
      <c r="A66" s="59"/>
      <c r="B66" s="42" t="s">
        <v>81</v>
      </c>
      <c r="C66" s="42">
        <f>D39</f>
        <v>84117000</v>
      </c>
      <c r="D66" s="58"/>
      <c r="F66" s="39"/>
      <c r="G66" s="48" t="s">
        <v>81</v>
      </c>
      <c r="H66" s="48">
        <f>F39</f>
        <v>84117000</v>
      </c>
      <c r="I66" s="40"/>
      <c r="K66" s="4"/>
      <c r="L66" s="2" t="s">
        <v>81</v>
      </c>
      <c r="M66" s="2">
        <f>H39</f>
        <v>84117000</v>
      </c>
      <c r="N66" s="5"/>
      <c r="P66" s="4"/>
      <c r="Q66" s="2" t="s">
        <v>81</v>
      </c>
      <c r="R66" s="2">
        <f>J39</f>
        <v>84117000</v>
      </c>
      <c r="S66" s="5"/>
      <c r="U66" s="4"/>
      <c r="V66" s="2" t="s">
        <v>81</v>
      </c>
      <c r="W66" s="2">
        <f>L39</f>
        <v>84117000</v>
      </c>
      <c r="X66" s="5"/>
    </row>
    <row r="67" spans="1:24" x14ac:dyDescent="0.3">
      <c r="A67" s="59"/>
      <c r="B67" s="41" t="s">
        <v>82</v>
      </c>
      <c r="C67" s="42"/>
      <c r="D67" s="58">
        <f>SUM(C61:C66)</f>
        <v>821259621.70063996</v>
      </c>
      <c r="F67" s="39"/>
      <c r="G67" s="49" t="s">
        <v>82</v>
      </c>
      <c r="H67" s="48"/>
      <c r="I67" s="40">
        <f>SUM(H61:H66)</f>
        <v>914296772.648</v>
      </c>
      <c r="K67" s="4"/>
      <c r="L67" s="1" t="s">
        <v>82</v>
      </c>
      <c r="N67" s="5">
        <f>SUM(M61:M66)</f>
        <v>1531769051.5999999</v>
      </c>
      <c r="P67" s="4"/>
      <c r="Q67" s="1" t="s">
        <v>82</v>
      </c>
      <c r="S67" s="5">
        <f>SUM(R61:R66)</f>
        <v>1804193590.1753597</v>
      </c>
      <c r="U67" s="4"/>
      <c r="V67" s="1" t="s">
        <v>82</v>
      </c>
      <c r="X67" s="5">
        <f>SUM(W61:W66)</f>
        <v>1902879291.1843505</v>
      </c>
    </row>
    <row r="68" spans="1:24" x14ac:dyDescent="0.3">
      <c r="A68" s="57" t="s">
        <v>83</v>
      </c>
      <c r="B68" s="42"/>
      <c r="C68" s="42">
        <f>D57+C59-D67</f>
        <v>-700207559.02544022</v>
      </c>
      <c r="D68" s="58"/>
      <c r="F68" s="47" t="s">
        <v>83</v>
      </c>
      <c r="G68" s="48"/>
      <c r="H68" s="48">
        <f>I57+H59-I67</f>
        <v>-186998544.00800025</v>
      </c>
      <c r="I68" s="40"/>
      <c r="K68" s="12" t="s">
        <v>83</v>
      </c>
      <c r="M68" s="2">
        <f>N57+M59-N67</f>
        <v>2563563432.4000001</v>
      </c>
      <c r="N68" s="5"/>
      <c r="P68" s="12" t="s">
        <v>83</v>
      </c>
      <c r="R68" s="2">
        <f>S57+R59-S67</f>
        <v>3842077594.829442</v>
      </c>
      <c r="S68" s="5"/>
      <c r="U68" s="12" t="s">
        <v>83</v>
      </c>
      <c r="W68" s="2">
        <f>X57+W59-X67</f>
        <v>4379384538.3285828</v>
      </c>
      <c r="X68" s="5"/>
    </row>
    <row r="69" spans="1:24" x14ac:dyDescent="0.3">
      <c r="A69" s="57" t="s">
        <v>84</v>
      </c>
      <c r="B69" s="42"/>
      <c r="C69" s="42">
        <v>0</v>
      </c>
      <c r="D69" s="58"/>
      <c r="F69" s="47" t="s">
        <v>84</v>
      </c>
      <c r="G69" s="48"/>
      <c r="H69" s="48">
        <v>0</v>
      </c>
      <c r="I69" s="40"/>
      <c r="K69" s="12" t="s">
        <v>84</v>
      </c>
      <c r="M69" s="2">
        <f>D77</f>
        <v>475889286.48000002</v>
      </c>
      <c r="N69" s="5"/>
      <c r="P69" s="12" t="s">
        <v>84</v>
      </c>
      <c r="R69" s="2">
        <f>E77</f>
        <v>731592118.9658885</v>
      </c>
      <c r="S69" s="5"/>
      <c r="U69" s="12" t="s">
        <v>84</v>
      </c>
      <c r="W69" s="2">
        <f>F77</f>
        <v>839053507.66571665</v>
      </c>
      <c r="X69" s="5"/>
    </row>
    <row r="70" spans="1:24" x14ac:dyDescent="0.3">
      <c r="A70" s="60"/>
      <c r="B70" s="61" t="s">
        <v>85</v>
      </c>
      <c r="C70" s="62"/>
      <c r="D70" s="63">
        <f>C68-C69</f>
        <v>-700207559.02544022</v>
      </c>
      <c r="F70" s="50"/>
      <c r="G70" s="51" t="s">
        <v>85</v>
      </c>
      <c r="H70" s="52"/>
      <c r="I70" s="53">
        <f>H68-H69</f>
        <v>-186998544.00800025</v>
      </c>
      <c r="K70" s="6"/>
      <c r="L70" s="13" t="s">
        <v>85</v>
      </c>
      <c r="M70" s="14"/>
      <c r="N70" s="7">
        <f>M68-M69</f>
        <v>2087674145.9200001</v>
      </c>
      <c r="P70" s="6"/>
      <c r="Q70" s="13" t="s">
        <v>85</v>
      </c>
      <c r="R70" s="14"/>
      <c r="S70" s="7">
        <f>R68-R69</f>
        <v>3110485475.8635535</v>
      </c>
      <c r="U70" s="6"/>
      <c r="V70" s="13" t="s">
        <v>85</v>
      </c>
      <c r="W70" s="14"/>
      <c r="X70" s="7">
        <f>W68-W69</f>
        <v>3540331030.6628661</v>
      </c>
    </row>
    <row r="72" spans="1:24" x14ac:dyDescent="0.3">
      <c r="A72" s="35" t="s">
        <v>1</v>
      </c>
      <c r="B72" s="2">
        <v>2</v>
      </c>
      <c r="C72" s="2">
        <v>4</v>
      </c>
      <c r="D72" s="2">
        <v>6</v>
      </c>
      <c r="E72" s="2">
        <v>8</v>
      </c>
      <c r="F72" s="2">
        <v>10</v>
      </c>
    </row>
    <row r="73" spans="1:24" x14ac:dyDescent="0.3">
      <c r="A73" s="35" t="s">
        <v>86</v>
      </c>
      <c r="B73" s="2">
        <f>D57+C59</f>
        <v>121052062.67519978</v>
      </c>
      <c r="C73" s="2">
        <f>I57+H59</f>
        <v>727298228.63999975</v>
      </c>
      <c r="D73" s="2">
        <f>N57+M59</f>
        <v>4095332484</v>
      </c>
      <c r="E73" s="2">
        <f>S57+R59</f>
        <v>5646271185.0048018</v>
      </c>
      <c r="F73" s="2">
        <f>X57+W59</f>
        <v>6282263829.5129328</v>
      </c>
    </row>
    <row r="74" spans="1:24" x14ac:dyDescent="0.3">
      <c r="A74" s="35" t="s">
        <v>87</v>
      </c>
      <c r="B74" s="2">
        <f>D67</f>
        <v>821259621.70063996</v>
      </c>
      <c r="C74" s="2">
        <f>I67</f>
        <v>914296772.648</v>
      </c>
      <c r="D74" s="2">
        <f>N67</f>
        <v>1531769051.5999999</v>
      </c>
      <c r="E74" s="2">
        <f>S67</f>
        <v>1804193590.1753597</v>
      </c>
      <c r="F74" s="2">
        <f>X67</f>
        <v>1902879291.1843505</v>
      </c>
    </row>
    <row r="75" spans="1:24" x14ac:dyDescent="0.3">
      <c r="A75" s="35" t="s">
        <v>49</v>
      </c>
      <c r="B75" s="2">
        <f>C66</f>
        <v>84117000</v>
      </c>
      <c r="C75" s="2">
        <f>H66</f>
        <v>84117000</v>
      </c>
      <c r="D75" s="2">
        <f>M66</f>
        <v>84117000</v>
      </c>
      <c r="E75" s="2">
        <f>R66</f>
        <v>84117000</v>
      </c>
      <c r="F75" s="2">
        <f>W66</f>
        <v>84117000</v>
      </c>
    </row>
    <row r="76" spans="1:24" x14ac:dyDescent="0.3">
      <c r="A76" s="35" t="s">
        <v>88</v>
      </c>
      <c r="B76" s="2">
        <f>B73-B74-B75</f>
        <v>-784324559.02544022</v>
      </c>
      <c r="C76" s="2">
        <f>C73-C74-C75</f>
        <v>-271115544.00800025</v>
      </c>
      <c r="D76" s="2">
        <f>D73-D74-D75</f>
        <v>2479446432.4000001</v>
      </c>
      <c r="E76" s="2">
        <f>E73-E74-E75</f>
        <v>3757960594.829442</v>
      </c>
      <c r="F76" s="2">
        <f>F73-F74-F75</f>
        <v>4295267538.3285828</v>
      </c>
    </row>
    <row r="77" spans="1:24" x14ac:dyDescent="0.3">
      <c r="A77" s="35" t="s">
        <v>89</v>
      </c>
      <c r="B77" s="2">
        <v>0</v>
      </c>
      <c r="C77" s="2">
        <v>0</v>
      </c>
      <c r="D77" s="2">
        <f>D80+D82</f>
        <v>475889286.48000002</v>
      </c>
      <c r="E77" s="2">
        <f>E80+E82</f>
        <v>731592118.9658885</v>
      </c>
      <c r="F77" s="2">
        <f>F80+F82</f>
        <v>839053507.66571665</v>
      </c>
    </row>
    <row r="78" spans="1:24" x14ac:dyDescent="0.3">
      <c r="A78" s="35" t="s">
        <v>90</v>
      </c>
      <c r="B78" s="2">
        <f>B76-B77</f>
        <v>-784324559.02544022</v>
      </c>
      <c r="C78" s="2">
        <f t="shared" ref="C78:F78" si="12">C76-C77</f>
        <v>-271115544.00800025</v>
      </c>
      <c r="D78" s="2">
        <f t="shared" si="12"/>
        <v>2003557145.9200001</v>
      </c>
      <c r="E78" s="2">
        <f t="shared" si="12"/>
        <v>3026368475.8635535</v>
      </c>
      <c r="F78" s="2">
        <f t="shared" si="12"/>
        <v>3456214030.6628661</v>
      </c>
      <c r="K78" s="2" t="s">
        <v>107</v>
      </c>
      <c r="L78" s="2" t="s">
        <v>106</v>
      </c>
    </row>
    <row r="79" spans="1:24" x14ac:dyDescent="0.3">
      <c r="J79" s="2" t="s">
        <v>105</v>
      </c>
      <c r="K79" s="2">
        <v>10889724382</v>
      </c>
      <c r="L79" s="2">
        <v>42784988000</v>
      </c>
    </row>
    <row r="80" spans="1:24" x14ac:dyDescent="0.3">
      <c r="D80" s="2">
        <v>20000000</v>
      </c>
      <c r="E80" s="2">
        <v>20000000</v>
      </c>
      <c r="F80" s="2">
        <v>20000000</v>
      </c>
      <c r="J80" s="2" t="s">
        <v>104</v>
      </c>
      <c r="K80" s="2">
        <v>5471534384</v>
      </c>
      <c r="L80" s="2">
        <v>45147671940</v>
      </c>
    </row>
    <row r="81" spans="1:12" x14ac:dyDescent="0.3">
      <c r="D81" s="2">
        <f>D76-200000000</f>
        <v>2279446432.4000001</v>
      </c>
      <c r="E81" s="2">
        <f>E76-200000000</f>
        <v>3557960594.829442</v>
      </c>
      <c r="F81" s="2">
        <f>F76-200000000</f>
        <v>4095267538.3285828</v>
      </c>
      <c r="J81" s="2" t="s">
        <v>103</v>
      </c>
      <c r="K81" s="69">
        <v>9770999830</v>
      </c>
      <c r="L81" s="2">
        <v>985947023</v>
      </c>
    </row>
    <row r="82" spans="1:12" x14ac:dyDescent="0.3">
      <c r="D82" s="2">
        <f>D81*20%</f>
        <v>455889286.48000002</v>
      </c>
      <c r="E82" s="2">
        <f>E81*20%</f>
        <v>711592118.9658885</v>
      </c>
      <c r="F82" s="2">
        <f>F81*20%</f>
        <v>819053507.66571665</v>
      </c>
      <c r="J82" s="2" t="s">
        <v>108</v>
      </c>
      <c r="K82" s="2">
        <f>K79-K80</f>
        <v>5418189998</v>
      </c>
      <c r="L82" s="2">
        <f>L79-L80</f>
        <v>-2362683940</v>
      </c>
    </row>
    <row r="87" spans="1:12" x14ac:dyDescent="0.3">
      <c r="A87" s="36" t="s">
        <v>50</v>
      </c>
      <c r="B87" s="37">
        <v>0</v>
      </c>
      <c r="C87" s="36">
        <v>1</v>
      </c>
      <c r="D87" s="37">
        <v>2</v>
      </c>
      <c r="E87" s="36">
        <v>3</v>
      </c>
      <c r="F87" s="37">
        <v>4</v>
      </c>
      <c r="G87" s="36">
        <v>5</v>
      </c>
      <c r="H87" s="37">
        <v>6</v>
      </c>
      <c r="I87" s="36">
        <v>7</v>
      </c>
      <c r="J87" s="37">
        <v>8</v>
      </c>
      <c r="K87" s="36">
        <v>9</v>
      </c>
      <c r="L87" s="37">
        <v>10</v>
      </c>
    </row>
    <row r="88" spans="1:12" x14ac:dyDescent="0.3">
      <c r="A88" s="36" t="s">
        <v>91</v>
      </c>
      <c r="B88" s="65"/>
      <c r="C88" s="65">
        <f>D88/2</f>
        <v>797736671.6688</v>
      </c>
      <c r="D88" s="65">
        <f>C50+C59</f>
        <v>1595473343.3376</v>
      </c>
      <c r="E88" s="65">
        <f>AVERAGE(D88,F88)</f>
        <v>5229607069.8288002</v>
      </c>
      <c r="F88" s="65">
        <f>H50+H59</f>
        <v>8863740796.3199997</v>
      </c>
      <c r="G88" s="65">
        <f>AVERAGE(F88,H88)</f>
        <v>29053372610.16</v>
      </c>
      <c r="H88" s="65">
        <f>M50+M59</f>
        <v>49243004424</v>
      </c>
      <c r="I88" s="65">
        <f>AVERAGE(H88,J88)</f>
        <v>58540083659.25119</v>
      </c>
      <c r="J88" s="65">
        <f>R50+R59</f>
        <v>67837162894.502388</v>
      </c>
      <c r="K88" s="65">
        <f>AVERAGE(J88,L88)</f>
        <v>71649611449.173431</v>
      </c>
      <c r="L88" s="65">
        <f>W50+W59</f>
        <v>75462060003.844467</v>
      </c>
    </row>
    <row r="89" spans="1:12" x14ac:dyDescent="0.3">
      <c r="A89" s="36" t="s">
        <v>92</v>
      </c>
      <c r="B89" s="65">
        <f>I17</f>
        <v>2091170000</v>
      </c>
      <c r="C89" s="65">
        <f>AVERAGE(B89,D89)</f>
        <v>2193425451.18152</v>
      </c>
      <c r="D89" s="65">
        <f>D56+D67</f>
        <v>2295680902.36304</v>
      </c>
      <c r="E89" s="65">
        <f>AVERAGE(D89,F89)</f>
        <v>5673210121.34552</v>
      </c>
      <c r="F89" s="65">
        <f>I56+I67+H69</f>
        <v>9050739340.328001</v>
      </c>
      <c r="G89" s="65">
        <f>AVERAGE(F89,H89)</f>
        <v>28103034809.204002</v>
      </c>
      <c r="H89" s="65">
        <f>N56+N67+M69</f>
        <v>47155330278.080002</v>
      </c>
      <c r="I89" s="65">
        <f>AVERAGE(H89,J89)</f>
        <v>55941003848.359421</v>
      </c>
      <c r="J89" s="65">
        <f>S56+S67+R69</f>
        <v>64726677418.63884</v>
      </c>
      <c r="K89" s="65">
        <f>AVERAGE(J89,L89)</f>
        <v>68324203195.910217</v>
      </c>
      <c r="L89" s="65">
        <f>X56+X67+W69</f>
        <v>71921728973.181595</v>
      </c>
    </row>
    <row r="90" spans="1:12" x14ac:dyDescent="0.3">
      <c r="A90" s="36" t="s">
        <v>93</v>
      </c>
      <c r="B90" s="65">
        <f>B88-B89</f>
        <v>-2091170000</v>
      </c>
      <c r="C90" s="65">
        <f t="shared" ref="C90:L90" si="13">C88-C89</f>
        <v>-1395688779.5127201</v>
      </c>
      <c r="D90" s="65">
        <f t="shared" si="13"/>
        <v>-700207559.02543998</v>
      </c>
      <c r="E90" s="65">
        <f t="shared" si="13"/>
        <v>-443603051.51671982</v>
      </c>
      <c r="F90" s="65">
        <f t="shared" si="13"/>
        <v>-186998544.00800133</v>
      </c>
      <c r="G90" s="65">
        <f t="shared" si="13"/>
        <v>950337800.95599747</v>
      </c>
      <c r="H90" s="65">
        <f t="shared" si="13"/>
        <v>2087674145.9199982</v>
      </c>
      <c r="I90" s="65">
        <f t="shared" si="13"/>
        <v>2599079810.8917694</v>
      </c>
      <c r="J90" s="65">
        <f t="shared" si="13"/>
        <v>3110485475.8635483</v>
      </c>
      <c r="K90" s="65">
        <f t="shared" si="13"/>
        <v>3325408253.2632141</v>
      </c>
      <c r="L90" s="65">
        <f t="shared" si="13"/>
        <v>3540331030.6628723</v>
      </c>
    </row>
    <row r="91" spans="1:12" x14ac:dyDescent="0.3">
      <c r="A91" s="2" t="s">
        <v>94</v>
      </c>
      <c r="B91" s="34">
        <f>L14</f>
        <v>5.28E-2</v>
      </c>
    </row>
    <row r="92" spans="1:12" x14ac:dyDescent="0.3">
      <c r="A92" s="2" t="s">
        <v>95</v>
      </c>
      <c r="B92" s="34">
        <v>5.7000000000000002E-2</v>
      </c>
    </row>
    <row r="93" spans="1:12" x14ac:dyDescent="0.3">
      <c r="A93" s="2" t="s">
        <v>96</v>
      </c>
      <c r="B93" s="34">
        <f>B91+B92+B91*B92</f>
        <v>0.11280960000000001</v>
      </c>
    </row>
    <row r="94" spans="1:12" x14ac:dyDescent="0.3">
      <c r="A94" s="2" t="s">
        <v>97</v>
      </c>
      <c r="B94" s="38">
        <f>NPV(B93,C90:L90)+B90</f>
        <v>2340664649.6110983</v>
      </c>
    </row>
    <row r="95" spans="1:12" x14ac:dyDescent="0.3">
      <c r="A95" s="2" t="s">
        <v>102</v>
      </c>
      <c r="B95" s="66">
        <f>IRR(B90:L90)</f>
        <v>0.18474396433292539</v>
      </c>
    </row>
    <row r="96" spans="1:12" x14ac:dyDescent="0.3">
      <c r="A96" s="2" t="s">
        <v>101</v>
      </c>
      <c r="B96" s="18">
        <f>B94/B89</f>
        <v>1.11930864043148</v>
      </c>
    </row>
  </sheetData>
  <mergeCells count="15">
    <mergeCell ref="B47:C47"/>
    <mergeCell ref="B48:C48"/>
    <mergeCell ref="B49:C49"/>
    <mergeCell ref="G47:H47"/>
    <mergeCell ref="G48:H48"/>
    <mergeCell ref="G49:H49"/>
    <mergeCell ref="V47:W47"/>
    <mergeCell ref="V48:W48"/>
    <mergeCell ref="V49:W49"/>
    <mergeCell ref="L47:M47"/>
    <mergeCell ref="L48:M48"/>
    <mergeCell ref="L49:M49"/>
    <mergeCell ref="Q47:R47"/>
    <mergeCell ref="Q48:R48"/>
    <mergeCell ref="Q49:R49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4068C-A9F7-4674-AEFC-1EDD7A2408B8}">
  <dimension ref="A1:E19"/>
  <sheetViews>
    <sheetView tabSelected="1" zoomScale="105" zoomScaleNormal="70" workbookViewId="0">
      <selection activeCell="B11" sqref="B11"/>
    </sheetView>
  </sheetViews>
  <sheetFormatPr defaultRowHeight="16.5" x14ac:dyDescent="0.3"/>
  <cols>
    <col min="1" max="1" width="23.125" bestFit="1" customWidth="1"/>
    <col min="2" max="2" width="21.875" style="70" bestFit="1" customWidth="1"/>
    <col min="3" max="3" width="20.75" style="79" bestFit="1" customWidth="1"/>
    <col min="5" max="5" width="16.75" bestFit="1" customWidth="1"/>
  </cols>
  <sheetData>
    <row r="1" spans="1:5" x14ac:dyDescent="0.3">
      <c r="B1" s="77"/>
      <c r="C1" s="78"/>
      <c r="E1" t="s">
        <v>109</v>
      </c>
    </row>
    <row r="2" spans="1:5" x14ac:dyDescent="0.3">
      <c r="A2" s="81" t="s">
        <v>109</v>
      </c>
      <c r="B2" s="82" t="s">
        <v>111</v>
      </c>
      <c r="C2" s="83" t="s">
        <v>113</v>
      </c>
      <c r="E2" t="s">
        <v>110</v>
      </c>
    </row>
    <row r="3" spans="1:5" x14ac:dyDescent="0.3">
      <c r="A3" s="84" t="s">
        <v>117</v>
      </c>
      <c r="B3" s="80">
        <f>('Financial Statement'!H50+'Financial Statement'!M50)/2</f>
        <v>25985588300</v>
      </c>
      <c r="C3" s="85">
        <v>2109125086149</v>
      </c>
      <c r="E3" s="72">
        <v>10889724382</v>
      </c>
    </row>
    <row r="4" spans="1:5" x14ac:dyDescent="0.3">
      <c r="A4" s="84" t="s">
        <v>118</v>
      </c>
      <c r="B4" s="80">
        <f>('Financial Statement'!I56+'Financial Statement'!N56)/2</f>
        <v>26642057253.84</v>
      </c>
      <c r="C4" s="85">
        <v>1125634518637</v>
      </c>
      <c r="E4" s="72">
        <v>5471534384</v>
      </c>
    </row>
    <row r="5" spans="1:5" x14ac:dyDescent="0.3">
      <c r="A5" s="84" t="s">
        <v>119</v>
      </c>
      <c r="B5" s="80">
        <f>B3-B4</f>
        <v>-656468953.84000015</v>
      </c>
      <c r="C5" s="85">
        <v>983490567512</v>
      </c>
      <c r="E5" s="72">
        <v>5418189998</v>
      </c>
    </row>
    <row r="6" spans="1:5" x14ac:dyDescent="0.3">
      <c r="A6" s="84" t="s">
        <v>120</v>
      </c>
      <c r="B6" s="80">
        <f>(SUM('Financial Statement'!H62:H66)+SUM('Financial Statement'!M62:M66))/2</f>
        <v>1156784646.5239999</v>
      </c>
      <c r="C6" s="85">
        <v>844462709210</v>
      </c>
      <c r="E6" s="72">
        <v>9770999830</v>
      </c>
    </row>
    <row r="7" spans="1:5" x14ac:dyDescent="0.3">
      <c r="A7" s="84" t="s">
        <v>121</v>
      </c>
      <c r="B7" s="80">
        <f>B5-B6</f>
        <v>-1813253600.3640001</v>
      </c>
      <c r="C7" s="85">
        <f>C3-C6-C4</f>
        <v>139027858302</v>
      </c>
      <c r="E7" s="72">
        <v>-4352809832</v>
      </c>
    </row>
    <row r="8" spans="1:5" x14ac:dyDescent="0.3">
      <c r="A8" s="84" t="s">
        <v>122</v>
      </c>
      <c r="B8" s="80">
        <f>('Financial Statement'!H59+'Financial Statement'!M59)/2</f>
        <v>3067784310.1599998</v>
      </c>
      <c r="C8" s="86">
        <f>5419818434+8166749811</f>
        <v>13586568245</v>
      </c>
      <c r="E8" s="72">
        <v>66289534</v>
      </c>
    </row>
    <row r="9" spans="1:5" x14ac:dyDescent="0.3">
      <c r="A9" s="84" t="s">
        <v>125</v>
      </c>
      <c r="B9" s="80">
        <f>('Financial Statement'!H61+'Financial Statement'!M61)/2</f>
        <v>66248265.600000001</v>
      </c>
      <c r="C9" s="86">
        <f>9957731554+14461378502</f>
        <v>24419110056</v>
      </c>
      <c r="E9" s="72">
        <v>143274712</v>
      </c>
    </row>
    <row r="10" spans="1:5" x14ac:dyDescent="0.3">
      <c r="A10" s="84" t="s">
        <v>123</v>
      </c>
      <c r="B10" s="80">
        <f>B7+B8-B9</f>
        <v>1188282444.1959999</v>
      </c>
      <c r="C10" s="87">
        <v>128195316491</v>
      </c>
      <c r="E10" s="72">
        <v>-4429795010</v>
      </c>
    </row>
    <row r="11" spans="1:5" x14ac:dyDescent="0.3">
      <c r="A11" s="84" t="s">
        <v>112</v>
      </c>
      <c r="B11" s="80">
        <f>B10*10%</f>
        <v>118828244.4196</v>
      </c>
      <c r="C11" s="85">
        <v>32317729613</v>
      </c>
      <c r="E11" s="72">
        <v>0</v>
      </c>
    </row>
    <row r="12" spans="1:5" x14ac:dyDescent="0.3">
      <c r="A12" s="84" t="s">
        <v>124</v>
      </c>
      <c r="B12" s="80">
        <f>B10-B11</f>
        <v>1069454199.7763999</v>
      </c>
      <c r="C12" s="85">
        <v>95877586878</v>
      </c>
      <c r="E12" s="72">
        <v>-4429795010</v>
      </c>
    </row>
    <row r="13" spans="1:5" x14ac:dyDescent="0.3">
      <c r="B13" s="77"/>
      <c r="C13" s="78"/>
      <c r="E13" s="71"/>
    </row>
    <row r="14" spans="1:5" x14ac:dyDescent="0.3">
      <c r="A14" s="88" t="s">
        <v>126</v>
      </c>
      <c r="B14" s="89">
        <f>B12/B3</f>
        <v>4.1155666265073547E-2</v>
      </c>
      <c r="C14" s="90">
        <f>C12/C3</f>
        <v>4.5458464036886755E-2</v>
      </c>
      <c r="E14" s="73">
        <f>E12/E3</f>
        <v>-0.40678669676178036</v>
      </c>
    </row>
    <row r="15" spans="1:5" x14ac:dyDescent="0.3">
      <c r="A15" s="88" t="s">
        <v>127</v>
      </c>
      <c r="B15" s="89">
        <f>(B4+B6+B9)/B3</f>
        <v>1.0723286247848387</v>
      </c>
      <c r="C15" s="91">
        <f>(C4+C6+C9)/C3</f>
        <v>0.9456605257797861</v>
      </c>
      <c r="E15" s="74">
        <f>(E4+E6+E9)/E3</f>
        <v>1.4128740440328988</v>
      </c>
    </row>
    <row r="16" spans="1:5" x14ac:dyDescent="0.3">
      <c r="B16" s="77"/>
      <c r="C16" s="78"/>
      <c r="E16" s="72"/>
    </row>
    <row r="18" spans="1:1" x14ac:dyDescent="0.3">
      <c r="A18" s="70"/>
    </row>
    <row r="19" spans="1:1" x14ac:dyDescent="0.3">
      <c r="A19" s="70"/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4A84EADBF0E394B813674F26B8F351E" ma:contentTypeVersion="2" ma:contentTypeDescription="새 문서를 만듭니다." ma:contentTypeScope="" ma:versionID="38746e5a95e7b4ab55edaa36944a28ab">
  <xsd:schema xmlns:xsd="http://www.w3.org/2001/XMLSchema" xmlns:xs="http://www.w3.org/2001/XMLSchema" xmlns:p="http://schemas.microsoft.com/office/2006/metadata/properties" xmlns:ns3="f3ed9ce2-60df-4da4-8662-9743f10de85b" targetNamespace="http://schemas.microsoft.com/office/2006/metadata/properties" ma:root="true" ma:fieldsID="10438efe03a97d9010d24b11d26561cc" ns3:_="">
    <xsd:import namespace="f3ed9ce2-60df-4da4-8662-9743f10de8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d9ce2-60df-4da4-8662-9743f10de8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2B0B27-C251-430D-9FBC-33CF4305F5A4}">
  <ds:schemaRefs>
    <ds:schemaRef ds:uri="http://purl.org/dc/dcmitype/"/>
    <ds:schemaRef ds:uri="f3ed9ce2-60df-4da4-8662-9743f10de85b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</ds:schemaRefs>
</ds:datastoreItem>
</file>

<file path=customXml/itemProps2.xml><?xml version="1.0" encoding="utf-8"?>
<ds:datastoreItem xmlns:ds="http://schemas.openxmlformats.org/officeDocument/2006/customXml" ds:itemID="{76C8FBE9-B8CB-498C-93CD-745EA9D57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ed9ce2-60df-4da4-8662-9743f10de8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074EE7-9581-4524-8EA2-A148601502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Financial Statement</vt:lpstr>
      <vt:lpstr>Oliveyoung vs Cosub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이정윤</cp:lastModifiedBy>
  <cp:revision/>
  <dcterms:created xsi:type="dcterms:W3CDTF">2022-10-19T08:03:07Z</dcterms:created>
  <dcterms:modified xsi:type="dcterms:W3CDTF">2022-11-10T13:01:20Z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0x01010004A84EADBF0E394B813674F26B8F351E</vt:lpwstr>
  </property>
</Properties>
</file>