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Team Project\"/>
    </mc:Choice>
  </mc:AlternateContent>
  <xr:revisionPtr revIDLastSave="0" documentId="8_{F3766597-E248-439F-9A0B-F2BDC0AAABF6}" xr6:coauthVersionLast="47" xr6:coauthVersionMax="47" xr10:uidLastSave="{00000000-0000-0000-0000-000000000000}"/>
  <bookViews>
    <workbookView xWindow="-120" yWindow="-120" windowWidth="29040" windowHeight="15720" firstSheet="2" activeTab="2" xr2:uid="{D356418A-EFA6-4AC3-AEDE-8717ED83FBDF}"/>
  </bookViews>
  <sheets>
    <sheet name="Financial Statement" sheetId="6" r:id="rId1"/>
    <sheet name="Oliveyoung vs Cosub" sheetId="7" r:id="rId2"/>
    <sheet name="Seyeon" sheetId="2" r:id="rId3"/>
    <sheet name="Insun" sheetId="3" r:id="rId4"/>
    <sheet name="Jeong-yun" sheetId="4" r:id="rId5"/>
    <sheet name="MERG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C7" i="4"/>
  <c r="C8" i="4" s="1"/>
  <c r="I6" i="4" s="1"/>
  <c r="C6" i="4"/>
  <c r="D5" i="4" s="1"/>
  <c r="E6" i="3"/>
  <c r="D7" i="3"/>
  <c r="C7" i="3"/>
  <c r="C6" i="3"/>
  <c r="D7" i="2"/>
  <c r="C7" i="2"/>
  <c r="C6" i="2"/>
  <c r="D5" i="2"/>
  <c r="C104" i="4"/>
  <c r="C103" i="4"/>
  <c r="D103" i="4"/>
  <c r="C4" i="5"/>
  <c r="D95" i="4"/>
  <c r="D89" i="4"/>
  <c r="C90" i="4" s="1"/>
  <c r="C91" i="4" s="1"/>
  <c r="G89" i="4" s="1"/>
  <c r="D83" i="4"/>
  <c r="D85" i="4" s="1"/>
  <c r="H83" i="4" s="1"/>
  <c r="D77" i="4"/>
  <c r="C78" i="4" s="1"/>
  <c r="C79" i="4" s="1"/>
  <c r="G77" i="4" s="1"/>
  <c r="D71" i="4"/>
  <c r="D65" i="4"/>
  <c r="C66" i="4" s="1"/>
  <c r="C67" i="4" s="1"/>
  <c r="G65" i="4" s="1"/>
  <c r="D103" i="3"/>
  <c r="C103" i="3"/>
  <c r="D103" i="2"/>
  <c r="C103" i="2"/>
  <c r="C104" i="2"/>
  <c r="D95" i="3"/>
  <c r="D89" i="3"/>
  <c r="D91" i="3" s="1"/>
  <c r="D83" i="3"/>
  <c r="C84" i="3" s="1"/>
  <c r="D77" i="3"/>
  <c r="D71" i="3"/>
  <c r="D65" i="3"/>
  <c r="C66" i="2"/>
  <c r="G71" i="2"/>
  <c r="D95" i="2"/>
  <c r="D97" i="2" s="1"/>
  <c r="D89" i="2"/>
  <c r="D83" i="2"/>
  <c r="D77" i="2"/>
  <c r="D79" i="2" s="1"/>
  <c r="D71" i="2"/>
  <c r="C72" i="2" s="1"/>
  <c r="D65" i="2"/>
  <c r="L29" i="3"/>
  <c r="I50" i="4"/>
  <c r="D31" i="4"/>
  <c r="D32" i="4" s="1"/>
  <c r="J30" i="4" s="1"/>
  <c r="L30" i="4" s="1"/>
  <c r="E29" i="4"/>
  <c r="D29" i="4"/>
  <c r="B3" i="7"/>
  <c r="B5" i="7" s="1"/>
  <c r="B7" i="7" s="1"/>
  <c r="B10" i="7" s="1"/>
  <c r="B4" i="7"/>
  <c r="B15" i="7" s="1"/>
  <c r="B6" i="7"/>
  <c r="C7" i="7"/>
  <c r="B8" i="7"/>
  <c r="C8" i="7"/>
  <c r="B9" i="7"/>
  <c r="C9" i="7"/>
  <c r="C14" i="7"/>
  <c r="C15" i="7"/>
  <c r="F3" i="6"/>
  <c r="F6" i="6" s="1"/>
  <c r="H54" i="6" s="1"/>
  <c r="G3" i="6"/>
  <c r="G7" i="6" s="1"/>
  <c r="I3" i="6"/>
  <c r="I7" i="6" s="1"/>
  <c r="J3" i="6"/>
  <c r="K3" i="6" s="1"/>
  <c r="I5" i="6"/>
  <c r="G6" i="6"/>
  <c r="H6" i="6"/>
  <c r="I6" i="6"/>
  <c r="F7" i="6"/>
  <c r="H55" i="6" s="1"/>
  <c r="H7" i="6"/>
  <c r="C8" i="6"/>
  <c r="D8" i="6"/>
  <c r="E8" i="6" s="1"/>
  <c r="F8" i="6" s="1"/>
  <c r="G8" i="6" s="1"/>
  <c r="H8" i="6" s="1"/>
  <c r="I8" i="6" s="1"/>
  <c r="J8" i="6" s="1"/>
  <c r="K8" i="6" s="1"/>
  <c r="L8" i="6" s="1"/>
  <c r="F13" i="6"/>
  <c r="I13" i="6"/>
  <c r="I15" i="6"/>
  <c r="I16" i="6"/>
  <c r="I17" i="6"/>
  <c r="L13" i="6" s="1"/>
  <c r="L16" i="6" s="1"/>
  <c r="B20" i="6"/>
  <c r="B21" i="6" s="1"/>
  <c r="F22" i="6"/>
  <c r="C62" i="6" s="1"/>
  <c r="J22" i="6"/>
  <c r="J23" i="6"/>
  <c r="J24" i="6" s="1"/>
  <c r="B24" i="6"/>
  <c r="H5" i="6" s="1"/>
  <c r="M53" i="6" s="1"/>
  <c r="B31" i="6"/>
  <c r="B32" i="6"/>
  <c r="C52" i="6" s="1"/>
  <c r="C34" i="6"/>
  <c r="D37" i="6" s="1"/>
  <c r="D39" i="6" s="1"/>
  <c r="C66" i="6" s="1"/>
  <c r="B75" i="6" s="1"/>
  <c r="C35" i="6"/>
  <c r="C37" i="6"/>
  <c r="C39" i="6" s="1"/>
  <c r="E37" i="6"/>
  <c r="H37" i="6"/>
  <c r="H39" i="6" s="1"/>
  <c r="M66" i="6" s="1"/>
  <c r="D75" i="6" s="1"/>
  <c r="I37" i="6"/>
  <c r="K37" i="6"/>
  <c r="K39" i="6" s="1"/>
  <c r="C38" i="6"/>
  <c r="D38" i="6"/>
  <c r="E38" i="6"/>
  <c r="F38" i="6"/>
  <c r="G38" i="6"/>
  <c r="H38" i="6"/>
  <c r="I38" i="6"/>
  <c r="I39" i="6" s="1"/>
  <c r="J38" i="6"/>
  <c r="K38" i="6"/>
  <c r="L38" i="6"/>
  <c r="E39" i="6"/>
  <c r="F43" i="6"/>
  <c r="W52" i="6"/>
  <c r="M54" i="6"/>
  <c r="M55" i="6"/>
  <c r="H62" i="6"/>
  <c r="W62" i="6"/>
  <c r="C64" i="6"/>
  <c r="H64" i="6"/>
  <c r="M64" i="6"/>
  <c r="R64" i="6"/>
  <c r="W64" i="6"/>
  <c r="C65" i="6"/>
  <c r="H65" i="6"/>
  <c r="M65" i="6"/>
  <c r="R65" i="6"/>
  <c r="W65" i="6"/>
  <c r="K82" i="6"/>
  <c r="L82" i="6"/>
  <c r="B89" i="6"/>
  <c r="B90" i="6"/>
  <c r="B91" i="6"/>
  <c r="B93" i="6" s="1"/>
  <c r="E5" i="4"/>
  <c r="D21" i="4"/>
  <c r="D61" i="4" s="1"/>
  <c r="C32" i="4"/>
  <c r="I30" i="4" s="1"/>
  <c r="D44" i="4"/>
  <c r="I45" i="4"/>
  <c r="C46" i="4"/>
  <c r="D46" i="4"/>
  <c r="C47" i="4"/>
  <c r="I44" i="4" s="1"/>
  <c r="E47" i="4"/>
  <c r="K44" i="4" s="1"/>
  <c r="I47" i="4"/>
  <c r="D67" i="4"/>
  <c r="H66" i="4" s="1"/>
  <c r="C72" i="4"/>
  <c r="C73" i="4" s="1"/>
  <c r="D73" i="4"/>
  <c r="H72" i="4" s="1"/>
  <c r="D79" i="4"/>
  <c r="H78" i="4" s="1"/>
  <c r="C84" i="4"/>
  <c r="C85" i="4" s="1"/>
  <c r="D91" i="4"/>
  <c r="H90" i="4" s="1"/>
  <c r="C96" i="4"/>
  <c r="C97" i="4" s="1"/>
  <c r="D97" i="4"/>
  <c r="H95" i="4" s="1"/>
  <c r="D5" i="3"/>
  <c r="D8" i="3" s="1"/>
  <c r="E5" i="3"/>
  <c r="K5" i="3" s="1"/>
  <c r="C8" i="3"/>
  <c r="I5" i="3" s="1"/>
  <c r="E8" i="3"/>
  <c r="K6" i="3" s="1"/>
  <c r="D21" i="3"/>
  <c r="D61" i="3" s="1"/>
  <c r="D29" i="3"/>
  <c r="E29" i="3"/>
  <c r="J29" i="3"/>
  <c r="E30" i="3"/>
  <c r="J31" i="3"/>
  <c r="C32" i="3"/>
  <c r="I29" i="3" s="1"/>
  <c r="D32" i="3"/>
  <c r="J30" i="3" s="1"/>
  <c r="D44" i="3"/>
  <c r="C47" i="3"/>
  <c r="I44" i="3" s="1"/>
  <c r="D47" i="3"/>
  <c r="J44" i="3" s="1"/>
  <c r="E47" i="3"/>
  <c r="K46" i="3" s="1"/>
  <c r="I47" i="3"/>
  <c r="C66" i="3"/>
  <c r="C67" i="3" s="1"/>
  <c r="D67" i="3"/>
  <c r="H66" i="3" s="1"/>
  <c r="C72" i="3"/>
  <c r="G72" i="3" s="1"/>
  <c r="C73" i="3"/>
  <c r="G71" i="3" s="1"/>
  <c r="D73" i="3"/>
  <c r="H71" i="3" s="1"/>
  <c r="C90" i="3"/>
  <c r="C91" i="3" s="1"/>
  <c r="C96" i="3"/>
  <c r="G96" i="3" s="1"/>
  <c r="C97" i="3"/>
  <c r="G95" i="3" s="1"/>
  <c r="G97" i="3" s="1"/>
  <c r="D97" i="3"/>
  <c r="H95" i="3" s="1"/>
  <c r="E5" i="2"/>
  <c r="E8" i="2" s="1"/>
  <c r="K6" i="2" s="1"/>
  <c r="C8" i="2"/>
  <c r="I5" i="2" s="1"/>
  <c r="D8" i="2"/>
  <c r="J6" i="2" s="1"/>
  <c r="D21" i="2"/>
  <c r="D61" i="2" s="1"/>
  <c r="D29" i="2"/>
  <c r="J29" i="2" s="1"/>
  <c r="E29" i="2"/>
  <c r="E30" i="2"/>
  <c r="C32" i="2"/>
  <c r="I30" i="2" s="1"/>
  <c r="D32" i="2"/>
  <c r="J30" i="2" s="1"/>
  <c r="D44" i="2"/>
  <c r="J44" i="2" s="1"/>
  <c r="J47" i="2" s="1"/>
  <c r="I45" i="2"/>
  <c r="L45" i="2" s="1"/>
  <c r="J45" i="2"/>
  <c r="K45" i="2"/>
  <c r="C46" i="2"/>
  <c r="I46" i="2" s="1"/>
  <c r="D46" i="2"/>
  <c r="J46" i="2" s="1"/>
  <c r="K46" i="2"/>
  <c r="C47" i="2"/>
  <c r="I44" i="2" s="1"/>
  <c r="D47" i="2"/>
  <c r="E47" i="2"/>
  <c r="K44" i="2" s="1"/>
  <c r="K47" i="2" s="1"/>
  <c r="D67" i="2"/>
  <c r="H66" i="2" s="1"/>
  <c r="H71" i="2"/>
  <c r="D73" i="2"/>
  <c r="H72" i="2" s="1"/>
  <c r="C78" i="2"/>
  <c r="C79" i="2"/>
  <c r="G77" i="2" s="1"/>
  <c r="C90" i="2"/>
  <c r="C91" i="2"/>
  <c r="G89" i="2" s="1"/>
  <c r="E8" i="4" l="1"/>
  <c r="D8" i="4"/>
  <c r="J5" i="4" s="1"/>
  <c r="K6" i="4"/>
  <c r="K7" i="4"/>
  <c r="K7" i="3"/>
  <c r="J7" i="3"/>
  <c r="J6" i="3"/>
  <c r="J5" i="2"/>
  <c r="J7" i="2"/>
  <c r="J8" i="2" s="1"/>
  <c r="D4" i="5"/>
  <c r="H96" i="3"/>
  <c r="I96" i="3" s="1"/>
  <c r="D109" i="3" s="1"/>
  <c r="H90" i="3"/>
  <c r="H89" i="3"/>
  <c r="H91" i="3" s="1"/>
  <c r="C85" i="3"/>
  <c r="G83" i="3" s="1"/>
  <c r="D85" i="3"/>
  <c r="H77" i="3"/>
  <c r="H79" i="3" s="1"/>
  <c r="D79" i="3"/>
  <c r="H78" i="3" s="1"/>
  <c r="C78" i="3"/>
  <c r="C79" i="3" s="1"/>
  <c r="G77" i="3" s="1"/>
  <c r="G73" i="3"/>
  <c r="H72" i="3"/>
  <c r="H73" i="3" s="1"/>
  <c r="H65" i="3"/>
  <c r="H67" i="3" s="1"/>
  <c r="H95" i="2"/>
  <c r="H96" i="2"/>
  <c r="C96" i="2"/>
  <c r="D91" i="2"/>
  <c r="H90" i="2" s="1"/>
  <c r="I90" i="2" s="1"/>
  <c r="D108" i="2" s="1"/>
  <c r="G90" i="2"/>
  <c r="H83" i="2"/>
  <c r="H85" i="2" s="1"/>
  <c r="D85" i="2"/>
  <c r="H84" i="2" s="1"/>
  <c r="C84" i="2"/>
  <c r="H78" i="2"/>
  <c r="H77" i="2"/>
  <c r="H79" i="2" s="1"/>
  <c r="I77" i="2"/>
  <c r="C106" i="2" s="1"/>
  <c r="G78" i="2"/>
  <c r="C73" i="2"/>
  <c r="H73" i="2"/>
  <c r="H65" i="2"/>
  <c r="H67" i="2" s="1"/>
  <c r="H97" i="4"/>
  <c r="H96" i="4"/>
  <c r="H84" i="4"/>
  <c r="H85" i="4" s="1"/>
  <c r="G90" i="4"/>
  <c r="G91" i="4" s="1"/>
  <c r="H89" i="4"/>
  <c r="I89" i="4" s="1"/>
  <c r="C108" i="4" s="1"/>
  <c r="H77" i="4"/>
  <c r="I77" i="4" s="1"/>
  <c r="C106" i="4" s="1"/>
  <c r="G78" i="4"/>
  <c r="I78" i="4" s="1"/>
  <c r="D106" i="4" s="1"/>
  <c r="H71" i="4"/>
  <c r="H73" i="4" s="1"/>
  <c r="G66" i="4"/>
  <c r="G67" i="4" s="1"/>
  <c r="H65" i="4"/>
  <c r="I65" i="4" s="1"/>
  <c r="K45" i="4"/>
  <c r="K46" i="4"/>
  <c r="K47" i="4" s="1"/>
  <c r="D47" i="4"/>
  <c r="J46" i="4" s="1"/>
  <c r="J31" i="4"/>
  <c r="J29" i="4"/>
  <c r="B11" i="7"/>
  <c r="B12" i="7" s="1"/>
  <c r="B14" i="7" s="1"/>
  <c r="K7" i="6"/>
  <c r="L3" i="6"/>
  <c r="K6" i="6"/>
  <c r="K5" i="6"/>
  <c r="J25" i="6"/>
  <c r="F14" i="6"/>
  <c r="O17" i="6"/>
  <c r="M18" i="6"/>
  <c r="P17" i="6"/>
  <c r="Q17" i="6"/>
  <c r="S17" i="6"/>
  <c r="M16" i="6"/>
  <c r="R17" i="6"/>
  <c r="T17" i="6"/>
  <c r="M17" i="6"/>
  <c r="U17" i="6"/>
  <c r="N17" i="6"/>
  <c r="V17" i="6"/>
  <c r="R62" i="6"/>
  <c r="R52" i="6"/>
  <c r="J37" i="6"/>
  <c r="J39" i="6" s="1"/>
  <c r="R66" i="6" s="1"/>
  <c r="E75" i="6" s="1"/>
  <c r="B23" i="6"/>
  <c r="M62" i="6"/>
  <c r="M52" i="6"/>
  <c r="N56" i="6" s="1"/>
  <c r="J5" i="6"/>
  <c r="R53" i="6" s="1"/>
  <c r="H52" i="6"/>
  <c r="I56" i="6" s="1"/>
  <c r="G37" i="6"/>
  <c r="G39" i="6" s="1"/>
  <c r="B12" i="6"/>
  <c r="J7" i="6"/>
  <c r="R55" i="6" s="1"/>
  <c r="E3" i="6"/>
  <c r="F37" i="6"/>
  <c r="F39" i="6" s="1"/>
  <c r="H66" i="6" s="1"/>
  <c r="C75" i="6" s="1"/>
  <c r="G5" i="6"/>
  <c r="F5" i="6"/>
  <c r="H53" i="6" s="1"/>
  <c r="L37" i="6"/>
  <c r="L39" i="6" s="1"/>
  <c r="W66" i="6" s="1"/>
  <c r="F75" i="6" s="1"/>
  <c r="J6" i="6"/>
  <c r="R54" i="6" s="1"/>
  <c r="J45" i="4"/>
  <c r="L45" i="4" s="1"/>
  <c r="J44" i="4"/>
  <c r="L44" i="4" s="1"/>
  <c r="G79" i="4"/>
  <c r="G83" i="4"/>
  <c r="G84" i="4"/>
  <c r="I84" i="4" s="1"/>
  <c r="D107" i="4" s="1"/>
  <c r="G72" i="4"/>
  <c r="I72" i="4" s="1"/>
  <c r="D105" i="4" s="1"/>
  <c r="G71" i="4"/>
  <c r="G95" i="4"/>
  <c r="G96" i="4"/>
  <c r="I96" i="4" s="1"/>
  <c r="D109" i="4" s="1"/>
  <c r="E61" i="4"/>
  <c r="H61" i="4" s="1"/>
  <c r="I61" i="4"/>
  <c r="I46" i="4"/>
  <c r="I31" i="4"/>
  <c r="K5" i="4"/>
  <c r="I29" i="4"/>
  <c r="I7" i="4"/>
  <c r="E32" i="4"/>
  <c r="K30" i="4" s="1"/>
  <c r="I5" i="4"/>
  <c r="G65" i="3"/>
  <c r="G66" i="3"/>
  <c r="I66" i="3" s="1"/>
  <c r="D104" i="3" s="1"/>
  <c r="K30" i="3"/>
  <c r="K8" i="3"/>
  <c r="I32" i="3"/>
  <c r="J32" i="3"/>
  <c r="G89" i="3"/>
  <c r="G90" i="3"/>
  <c r="I90" i="3" s="1"/>
  <c r="D108" i="3" s="1"/>
  <c r="E61" i="3"/>
  <c r="H61" i="3" s="1"/>
  <c r="K45" i="3"/>
  <c r="I30" i="3"/>
  <c r="J45" i="3"/>
  <c r="J47" i="3" s="1"/>
  <c r="I6" i="3"/>
  <c r="L6" i="3" s="1"/>
  <c r="I45" i="3"/>
  <c r="L45" i="3" s="1"/>
  <c r="K44" i="3"/>
  <c r="K47" i="3" s="1"/>
  <c r="I31" i="3"/>
  <c r="J5" i="3"/>
  <c r="J46" i="3"/>
  <c r="I7" i="3"/>
  <c r="I95" i="3"/>
  <c r="I71" i="3"/>
  <c r="I46" i="3"/>
  <c r="L46" i="3" s="1"/>
  <c r="E32" i="3"/>
  <c r="D50" i="2"/>
  <c r="D51" i="2"/>
  <c r="D52" i="2"/>
  <c r="I47" i="2"/>
  <c r="L44" i="2"/>
  <c r="G91" i="2"/>
  <c r="E61" i="2"/>
  <c r="H61" i="2" s="1"/>
  <c r="I61" i="2"/>
  <c r="G79" i="2"/>
  <c r="I78" i="2"/>
  <c r="D106" i="2" s="1"/>
  <c r="L46" i="2"/>
  <c r="J32" i="2"/>
  <c r="I6" i="2"/>
  <c r="L6" i="2" s="1"/>
  <c r="C67" i="2"/>
  <c r="G65" i="2" s="1"/>
  <c r="J31" i="2"/>
  <c r="K7" i="2"/>
  <c r="I31" i="2"/>
  <c r="K5" i="2"/>
  <c r="I29" i="2"/>
  <c r="I7" i="2"/>
  <c r="E32" i="2"/>
  <c r="J7" i="4" l="1"/>
  <c r="L7" i="4" s="1"/>
  <c r="J6" i="4"/>
  <c r="L6" i="4"/>
  <c r="D14" i="4" s="1"/>
  <c r="K8" i="4"/>
  <c r="J8" i="3"/>
  <c r="L7" i="3"/>
  <c r="E12" i="3" s="1"/>
  <c r="L5" i="3"/>
  <c r="L7" i="2"/>
  <c r="E14" i="2" s="1"/>
  <c r="K8" i="2"/>
  <c r="H97" i="3"/>
  <c r="H83" i="3"/>
  <c r="H84" i="3"/>
  <c r="G84" i="3"/>
  <c r="I84" i="3" s="1"/>
  <c r="D107" i="3" s="1"/>
  <c r="G78" i="3"/>
  <c r="I78" i="3" s="1"/>
  <c r="D106" i="3" s="1"/>
  <c r="I72" i="3"/>
  <c r="D105" i="3" s="1"/>
  <c r="C97" i="2"/>
  <c r="G95" i="2" s="1"/>
  <c r="H97" i="2"/>
  <c r="H89" i="2"/>
  <c r="G84" i="2"/>
  <c r="I84" i="2" s="1"/>
  <c r="D107" i="2" s="1"/>
  <c r="D8" i="5" s="1"/>
  <c r="C85" i="2"/>
  <c r="G83" i="2" s="1"/>
  <c r="D7" i="5"/>
  <c r="G73" i="2"/>
  <c r="D6" i="5"/>
  <c r="G72" i="2"/>
  <c r="I72" i="2" s="1"/>
  <c r="D105" i="2" s="1"/>
  <c r="I71" i="2"/>
  <c r="G66" i="2"/>
  <c r="I66" i="2" s="1"/>
  <c r="D104" i="2" s="1"/>
  <c r="I90" i="4"/>
  <c r="D108" i="4" s="1"/>
  <c r="D9" i="5" s="1"/>
  <c r="I66" i="4"/>
  <c r="D104" i="4" s="1"/>
  <c r="D5" i="5" s="1"/>
  <c r="H91" i="4"/>
  <c r="H79" i="4"/>
  <c r="H67" i="4"/>
  <c r="J32" i="4"/>
  <c r="L46" i="4"/>
  <c r="E51" i="4" s="1"/>
  <c r="H4" i="6"/>
  <c r="M50" i="6" s="1"/>
  <c r="I4" i="6"/>
  <c r="J4" i="6"/>
  <c r="R50" i="6" s="1"/>
  <c r="L4" i="6"/>
  <c r="W50" i="6" s="1"/>
  <c r="K4" i="6"/>
  <c r="E4" i="6"/>
  <c r="F4" i="6"/>
  <c r="H50" i="6" s="1"/>
  <c r="G4" i="6"/>
  <c r="S56" i="6"/>
  <c r="N18" i="6"/>
  <c r="C61" i="6" s="1"/>
  <c r="N16" i="6"/>
  <c r="L6" i="6"/>
  <c r="W54" i="6" s="1"/>
  <c r="L7" i="6"/>
  <c r="W55" i="6" s="1"/>
  <c r="L5" i="6"/>
  <c r="W53" i="6" s="1"/>
  <c r="X56" i="6" s="1"/>
  <c r="E5" i="6"/>
  <c r="D3" i="6"/>
  <c r="E6" i="6"/>
  <c r="E7" i="6"/>
  <c r="J9" i="6"/>
  <c r="R59" i="6" s="1"/>
  <c r="R63" i="6" s="1"/>
  <c r="F9" i="6"/>
  <c r="H59" i="6" s="1"/>
  <c r="H63" i="6" s="1"/>
  <c r="K9" i="6"/>
  <c r="D9" i="6"/>
  <c r="C59" i="6" s="1"/>
  <c r="C63" i="6" s="1"/>
  <c r="L9" i="6"/>
  <c r="W59" i="6" s="1"/>
  <c r="W63" i="6" s="1"/>
  <c r="E9" i="6"/>
  <c r="G9" i="6"/>
  <c r="H9" i="6"/>
  <c r="M59" i="6" s="1"/>
  <c r="M63" i="6" s="1"/>
  <c r="I9" i="6"/>
  <c r="G85" i="4"/>
  <c r="I83" i="4"/>
  <c r="K31" i="4"/>
  <c r="L31" i="4" s="1"/>
  <c r="K29" i="4"/>
  <c r="K32" i="4" s="1"/>
  <c r="D51" i="4"/>
  <c r="D50" i="4"/>
  <c r="D52" i="4"/>
  <c r="I91" i="4"/>
  <c r="J47" i="4"/>
  <c r="I8" i="4"/>
  <c r="L5" i="4"/>
  <c r="I79" i="4"/>
  <c r="J61" i="4"/>
  <c r="I32" i="4"/>
  <c r="I67" i="4"/>
  <c r="C50" i="4"/>
  <c r="C51" i="4"/>
  <c r="C52" i="4"/>
  <c r="G97" i="4"/>
  <c r="I95" i="4"/>
  <c r="G73" i="4"/>
  <c r="I71" i="4"/>
  <c r="D35" i="4"/>
  <c r="D37" i="4"/>
  <c r="D36" i="4"/>
  <c r="D14" i="3"/>
  <c r="D13" i="3"/>
  <c r="D12" i="3"/>
  <c r="E52" i="3"/>
  <c r="E51" i="3"/>
  <c r="E50" i="3"/>
  <c r="I89" i="3"/>
  <c r="G91" i="3"/>
  <c r="G67" i="3"/>
  <c r="I65" i="3"/>
  <c r="D52" i="3"/>
  <c r="D51" i="3"/>
  <c r="D50" i="3"/>
  <c r="C109" i="3"/>
  <c r="I97" i="3"/>
  <c r="L30" i="3"/>
  <c r="I8" i="3"/>
  <c r="L44" i="3"/>
  <c r="C105" i="3"/>
  <c r="C113" i="3"/>
  <c r="K29" i="3"/>
  <c r="K31" i="3"/>
  <c r="L31" i="3"/>
  <c r="I61" i="3"/>
  <c r="I77" i="3"/>
  <c r="E12" i="2"/>
  <c r="E13" i="2"/>
  <c r="J61" i="2"/>
  <c r="I8" i="2"/>
  <c r="K31" i="2"/>
  <c r="L31" i="2" s="1"/>
  <c r="K29" i="2"/>
  <c r="K32" i="2" s="1"/>
  <c r="C105" i="2"/>
  <c r="I73" i="2"/>
  <c r="L5" i="2"/>
  <c r="D12" i="2"/>
  <c r="D13" i="2"/>
  <c r="D14" i="2"/>
  <c r="C50" i="2"/>
  <c r="C117" i="2"/>
  <c r="L47" i="2"/>
  <c r="C52" i="2"/>
  <c r="C51" i="2"/>
  <c r="F51" i="2" s="1"/>
  <c r="I51" i="2" s="1"/>
  <c r="I32" i="2"/>
  <c r="I79" i="2"/>
  <c r="E51" i="2"/>
  <c r="E50" i="2"/>
  <c r="C119" i="2"/>
  <c r="E52" i="2"/>
  <c r="K30" i="2"/>
  <c r="L30" i="2" s="1"/>
  <c r="I65" i="2"/>
  <c r="G67" i="2"/>
  <c r="C115" i="4" l="1"/>
  <c r="D12" i="4"/>
  <c r="J8" i="4"/>
  <c r="E12" i="4"/>
  <c r="C118" i="4"/>
  <c r="D13" i="4"/>
  <c r="E14" i="4"/>
  <c r="C117" i="4"/>
  <c r="E13" i="4"/>
  <c r="L8" i="3"/>
  <c r="C14" i="3"/>
  <c r="C119" i="3"/>
  <c r="E13" i="3"/>
  <c r="C12" i="3"/>
  <c r="F12" i="3" s="1"/>
  <c r="I12" i="3" s="1"/>
  <c r="E14" i="3"/>
  <c r="C118" i="3"/>
  <c r="C13" i="3"/>
  <c r="F13" i="3" s="1"/>
  <c r="I13" i="3" s="1"/>
  <c r="C118" i="2"/>
  <c r="C12" i="2"/>
  <c r="F12" i="2" s="1"/>
  <c r="I12" i="2" s="1"/>
  <c r="C13" i="2"/>
  <c r="F13" i="2" s="1"/>
  <c r="I13" i="2" s="1"/>
  <c r="H85" i="3"/>
  <c r="I83" i="3"/>
  <c r="G85" i="3"/>
  <c r="G79" i="3"/>
  <c r="I73" i="3"/>
  <c r="I95" i="2"/>
  <c r="G96" i="2"/>
  <c r="I96" i="2" s="1"/>
  <c r="D109" i="2" s="1"/>
  <c r="D10" i="5" s="1"/>
  <c r="I89" i="2"/>
  <c r="H91" i="2"/>
  <c r="I83" i="2"/>
  <c r="G85" i="2"/>
  <c r="C5" i="5"/>
  <c r="E52" i="4"/>
  <c r="F52" i="4" s="1"/>
  <c r="I52" i="4" s="1"/>
  <c r="L47" i="4"/>
  <c r="C119" i="4"/>
  <c r="C19" i="5" s="1"/>
  <c r="E50" i="4"/>
  <c r="F50" i="4" s="1"/>
  <c r="F51" i="4"/>
  <c r="I51" i="4" s="1"/>
  <c r="L29" i="4"/>
  <c r="C35" i="4" s="1"/>
  <c r="F35" i="4" s="1"/>
  <c r="I35" i="4" s="1"/>
  <c r="X57" i="6"/>
  <c r="L88" i="6"/>
  <c r="C3" i="6"/>
  <c r="D6" i="6"/>
  <c r="C54" i="6" s="1"/>
  <c r="D7" i="6"/>
  <c r="C55" i="6" s="1"/>
  <c r="D5" i="6"/>
  <c r="C53" i="6" s="1"/>
  <c r="D56" i="6" s="1"/>
  <c r="D67" i="6"/>
  <c r="B74" i="6" s="1"/>
  <c r="J88" i="6"/>
  <c r="S57" i="6"/>
  <c r="O18" i="6"/>
  <c r="O16" i="6"/>
  <c r="I57" i="6"/>
  <c r="F88" i="6"/>
  <c r="D4" i="6"/>
  <c r="C50" i="6" s="1"/>
  <c r="N57" i="6"/>
  <c r="H88" i="6"/>
  <c r="C113" i="4"/>
  <c r="C14" i="4"/>
  <c r="F14" i="4" s="1"/>
  <c r="I14" i="4" s="1"/>
  <c r="C12" i="4"/>
  <c r="L8" i="4"/>
  <c r="C13" i="4"/>
  <c r="C116" i="4"/>
  <c r="E35" i="4"/>
  <c r="E37" i="4"/>
  <c r="E36" i="4"/>
  <c r="C105" i="4"/>
  <c r="C6" i="5" s="1"/>
  <c r="I73" i="4"/>
  <c r="C109" i="4"/>
  <c r="I97" i="4"/>
  <c r="C107" i="4"/>
  <c r="I85" i="4"/>
  <c r="D35" i="3"/>
  <c r="D37" i="3"/>
  <c r="C115" i="3"/>
  <c r="D36" i="3"/>
  <c r="I67" i="3"/>
  <c r="C104" i="3"/>
  <c r="E35" i="3"/>
  <c r="E37" i="3"/>
  <c r="C116" i="3"/>
  <c r="E36" i="3"/>
  <c r="C52" i="3"/>
  <c r="F52" i="3" s="1"/>
  <c r="I52" i="3" s="1"/>
  <c r="C51" i="3"/>
  <c r="F51" i="3" s="1"/>
  <c r="I51" i="3" s="1"/>
  <c r="L47" i="3"/>
  <c r="C50" i="3"/>
  <c r="F50" i="3" s="1"/>
  <c r="I50" i="3" s="1"/>
  <c r="I53" i="3" s="1"/>
  <c r="L49" i="3" s="1"/>
  <c r="L50" i="3" s="1"/>
  <c r="C117" i="3"/>
  <c r="C17" i="5" s="1"/>
  <c r="J61" i="3"/>
  <c r="C106" i="3"/>
  <c r="C7" i="5" s="1"/>
  <c r="I79" i="3"/>
  <c r="C108" i="3"/>
  <c r="I91" i="3"/>
  <c r="K32" i="3"/>
  <c r="C116" i="2"/>
  <c r="E35" i="2"/>
  <c r="E37" i="2"/>
  <c r="E36" i="2"/>
  <c r="C14" i="2"/>
  <c r="F14" i="2" s="1"/>
  <c r="I14" i="2" s="1"/>
  <c r="C113" i="2"/>
  <c r="L8" i="2"/>
  <c r="I67" i="2"/>
  <c r="F52" i="2"/>
  <c r="I52" i="2" s="1"/>
  <c r="F50" i="2"/>
  <c r="I50" i="2" s="1"/>
  <c r="I53" i="2" s="1"/>
  <c r="L49" i="2" s="1"/>
  <c r="L50" i="2" s="1"/>
  <c r="C115" i="2"/>
  <c r="D35" i="2"/>
  <c r="D36" i="2"/>
  <c r="D37" i="2"/>
  <c r="L29" i="2"/>
  <c r="F13" i="4" l="1"/>
  <c r="I13" i="4" s="1"/>
  <c r="F12" i="4"/>
  <c r="I12" i="4" s="1"/>
  <c r="C15" i="5"/>
  <c r="C18" i="5"/>
  <c r="F14" i="3"/>
  <c r="I14" i="3" s="1"/>
  <c r="I15" i="3" s="1"/>
  <c r="L11" i="3" s="1"/>
  <c r="L12" i="3" s="1"/>
  <c r="I15" i="2"/>
  <c r="L11" i="2" s="1"/>
  <c r="L12" i="2" s="1"/>
  <c r="C16" i="5"/>
  <c r="C13" i="5"/>
  <c r="C107" i="3"/>
  <c r="I85" i="3"/>
  <c r="C10" i="5"/>
  <c r="C109" i="2"/>
  <c r="I97" i="2"/>
  <c r="G97" i="2"/>
  <c r="I91" i="2"/>
  <c r="C108" i="2"/>
  <c r="C9" i="5" s="1"/>
  <c r="C107" i="2"/>
  <c r="I85" i="2"/>
  <c r="C114" i="4"/>
  <c r="C36" i="4"/>
  <c r="F36" i="4" s="1"/>
  <c r="I36" i="4" s="1"/>
  <c r="L32" i="4"/>
  <c r="C37" i="4"/>
  <c r="F37" i="4" s="1"/>
  <c r="I37" i="4" s="1"/>
  <c r="I53" i="4"/>
  <c r="L49" i="4" s="1"/>
  <c r="L50" i="4" s="1"/>
  <c r="K88" i="6"/>
  <c r="D57" i="6"/>
  <c r="D88" i="6"/>
  <c r="C73" i="6"/>
  <c r="P18" i="6"/>
  <c r="H61" i="6" s="1"/>
  <c r="I67" i="6" s="1"/>
  <c r="P16" i="6"/>
  <c r="B3" i="6"/>
  <c r="C7" i="6"/>
  <c r="C6" i="6"/>
  <c r="C5" i="6"/>
  <c r="C9" i="6"/>
  <c r="C4" i="6"/>
  <c r="D89" i="6"/>
  <c r="G88" i="6"/>
  <c r="I88" i="6"/>
  <c r="D73" i="6"/>
  <c r="E73" i="6"/>
  <c r="F73" i="6"/>
  <c r="I15" i="4"/>
  <c r="L11" i="4" s="1"/>
  <c r="L12" i="4" s="1"/>
  <c r="G104" i="4"/>
  <c r="C37" i="3"/>
  <c r="F37" i="3" s="1"/>
  <c r="I37" i="3" s="1"/>
  <c r="C114" i="3"/>
  <c r="L32" i="3"/>
  <c r="C36" i="3"/>
  <c r="F36" i="3" s="1"/>
  <c r="I36" i="3" s="1"/>
  <c r="C35" i="3"/>
  <c r="F35" i="3" s="1"/>
  <c r="I35" i="3" s="1"/>
  <c r="I38" i="3" s="1"/>
  <c r="L34" i="3" s="1"/>
  <c r="L35" i="3" s="1"/>
  <c r="C35" i="2"/>
  <c r="F35" i="2" s="1"/>
  <c r="I35" i="2" s="1"/>
  <c r="L32" i="2"/>
  <c r="C114" i="2"/>
  <c r="G104" i="2" s="1"/>
  <c r="C37" i="2"/>
  <c r="F37" i="2" s="1"/>
  <c r="I37" i="2" s="1"/>
  <c r="C36" i="2"/>
  <c r="F36" i="2" s="1"/>
  <c r="I36" i="2" s="1"/>
  <c r="G103" i="3" l="1"/>
  <c r="G103" i="2"/>
  <c r="C8" i="5"/>
  <c r="C14" i="5"/>
  <c r="H3" i="5" s="1"/>
  <c r="G103" i="4"/>
  <c r="I38" i="4"/>
  <c r="L34" i="4" s="1"/>
  <c r="L35" i="4" s="1"/>
  <c r="C74" i="6"/>
  <c r="F89" i="6"/>
  <c r="C76" i="6"/>
  <c r="C78" i="6" s="1"/>
  <c r="H68" i="6"/>
  <c r="I70" i="6" s="1"/>
  <c r="C68" i="6"/>
  <c r="D70" i="6" s="1"/>
  <c r="B73" i="6"/>
  <c r="B76" i="6" s="1"/>
  <c r="B78" i="6" s="1"/>
  <c r="Q18" i="6"/>
  <c r="Q16" i="6"/>
  <c r="E89" i="6"/>
  <c r="C89" i="6"/>
  <c r="D90" i="6"/>
  <c r="E88" i="6"/>
  <c r="E90" i="6" s="1"/>
  <c r="C88" i="6"/>
  <c r="B6" i="6"/>
  <c r="B7" i="6"/>
  <c r="B5" i="6"/>
  <c r="B4" i="6"/>
  <c r="B9" i="6"/>
  <c r="G104" i="3"/>
  <c r="I38" i="2"/>
  <c r="L34" i="2" s="1"/>
  <c r="L35" i="2" s="1"/>
  <c r="H4" i="5" l="1"/>
  <c r="F90" i="6"/>
  <c r="R16" i="6"/>
  <c r="R18" i="6"/>
  <c r="M61" i="6" s="1"/>
  <c r="N67" i="6" s="1"/>
  <c r="C90" i="6"/>
  <c r="D74" i="6" l="1"/>
  <c r="D76" i="6" s="1"/>
  <c r="M68" i="6"/>
  <c r="S16" i="6"/>
  <c r="S18" i="6"/>
  <c r="T16" i="6" l="1"/>
  <c r="T18" i="6"/>
  <c r="R61" i="6" s="1"/>
  <c r="S67" i="6" s="1"/>
  <c r="D81" i="6"/>
  <c r="D82" i="6" s="1"/>
  <c r="D77" i="6" s="1"/>
  <c r="M69" i="6" s="1"/>
  <c r="H89" i="6" s="1"/>
  <c r="N70" i="6" l="1"/>
  <c r="D78" i="6"/>
  <c r="H90" i="6"/>
  <c r="G89" i="6"/>
  <c r="G90" i="6" s="1"/>
  <c r="E74" i="6"/>
  <c r="E76" i="6" s="1"/>
  <c r="R68" i="6"/>
  <c r="U18" i="6"/>
  <c r="U16" i="6"/>
  <c r="S70" i="6" l="1"/>
  <c r="E81" i="6"/>
  <c r="E82" i="6" s="1"/>
  <c r="E77" i="6" s="1"/>
  <c r="R69" i="6" s="1"/>
  <c r="J89" i="6" s="1"/>
  <c r="V16" i="6"/>
  <c r="V18" i="6"/>
  <c r="W61" i="6" s="1"/>
  <c r="X67" i="6" s="1"/>
  <c r="F74" i="6" l="1"/>
  <c r="F76" i="6" s="1"/>
  <c r="W68" i="6"/>
  <c r="J90" i="6"/>
  <c r="I89" i="6"/>
  <c r="I90" i="6" s="1"/>
  <c r="E78" i="6"/>
  <c r="F81" i="6" l="1"/>
  <c r="F82" i="6" s="1"/>
  <c r="F77" i="6" s="1"/>
  <c r="W69" i="6" s="1"/>
  <c r="L89" i="6" s="1"/>
  <c r="X70" i="6"/>
  <c r="L90" i="6" l="1"/>
  <c r="K89" i="6"/>
  <c r="K90" i="6" s="1"/>
  <c r="B95" i="6" s="1"/>
  <c r="F78" i="6"/>
  <c r="B94" i="6" l="1"/>
  <c r="B96" i="6" s="1"/>
</calcChain>
</file>

<file path=xl/sharedStrings.xml><?xml version="1.0" encoding="utf-8"?>
<sst xmlns="http://schemas.openxmlformats.org/spreadsheetml/2006/main" count="950" uniqueCount="180">
  <si>
    <t>Expandability</t>
    <phoneticPr fontId="3" type="noConversion"/>
  </si>
  <si>
    <t>Saving conversion cost</t>
    <phoneticPr fontId="3" type="noConversion"/>
  </si>
  <si>
    <t>Convenience of individual</t>
    <phoneticPr fontId="3" type="noConversion"/>
  </si>
  <si>
    <t>Data Analysis</t>
    <phoneticPr fontId="3" type="noConversion"/>
  </si>
  <si>
    <t>Optimize AI</t>
    <phoneticPr fontId="3" type="noConversion"/>
  </si>
  <si>
    <t>Security</t>
    <phoneticPr fontId="3" type="noConversion"/>
  </si>
  <si>
    <t>b/c ratio</t>
    <phoneticPr fontId="3" type="noConversion"/>
  </si>
  <si>
    <t>Weight vector</t>
    <phoneticPr fontId="3" type="noConversion"/>
  </si>
  <si>
    <t>No start</t>
  </si>
  <si>
    <t>AHP result</t>
    <phoneticPr fontId="3" type="noConversion"/>
  </si>
  <si>
    <t>score vector</t>
    <phoneticPr fontId="3" type="noConversion"/>
  </si>
  <si>
    <t>Total</t>
    <phoneticPr fontId="3" type="noConversion"/>
  </si>
  <si>
    <t>Resulting Priorities</t>
    <phoneticPr fontId="3" type="noConversion"/>
  </si>
  <si>
    <t>Step2</t>
    <phoneticPr fontId="3" type="noConversion"/>
  </si>
  <si>
    <t>Step1</t>
    <phoneticPr fontId="3" type="noConversion"/>
  </si>
  <si>
    <t>B/C Standard score</t>
    <phoneticPr fontId="3" type="noConversion"/>
  </si>
  <si>
    <t>Step 2</t>
    <phoneticPr fontId="3" type="noConversion"/>
  </si>
  <si>
    <t>Step 1</t>
    <phoneticPr fontId="3" type="noConversion"/>
  </si>
  <si>
    <t>Financial Factor</t>
    <phoneticPr fontId="3" type="noConversion"/>
  </si>
  <si>
    <t>Lambda</t>
    <phoneticPr fontId="3" type="noConversion"/>
  </si>
  <si>
    <t>RI</t>
    <phoneticPr fontId="3" type="noConversion"/>
  </si>
  <si>
    <t>CR of all</t>
    <phoneticPr fontId="3" type="noConversion"/>
  </si>
  <si>
    <t>CI of all</t>
    <phoneticPr fontId="3" type="noConversion"/>
  </si>
  <si>
    <t>Consistency Vector</t>
    <phoneticPr fontId="3" type="noConversion"/>
  </si>
  <si>
    <t>Step 4</t>
    <phoneticPr fontId="3" type="noConversion"/>
  </si>
  <si>
    <t>Weighted Sum Vector</t>
    <phoneticPr fontId="3" type="noConversion"/>
  </si>
  <si>
    <t>Convenience of individual</t>
  </si>
  <si>
    <t>Step3</t>
    <phoneticPr fontId="3" type="noConversion"/>
  </si>
  <si>
    <t>Service</t>
  </si>
  <si>
    <t>Opimize AI</t>
    <phoneticPr fontId="3" type="noConversion"/>
  </si>
  <si>
    <t>Step 3</t>
    <phoneticPr fontId="3" type="noConversion"/>
  </si>
  <si>
    <t>Technological</t>
    <phoneticPr fontId="3" type="noConversion"/>
  </si>
  <si>
    <t>b/c standard score</t>
    <phoneticPr fontId="3" type="noConversion"/>
  </si>
  <si>
    <t>Financial</t>
    <phoneticPr fontId="3" type="noConversion"/>
  </si>
  <si>
    <t>Service Factor</t>
    <phoneticPr fontId="3" type="noConversion"/>
  </si>
  <si>
    <t>Technological Factor</t>
    <phoneticPr fontId="3" type="noConversion"/>
  </si>
  <si>
    <t>Weight</t>
    <phoneticPr fontId="3" type="noConversion"/>
  </si>
  <si>
    <t>Start</t>
    <phoneticPr fontId="3" type="noConversion"/>
  </si>
  <si>
    <t>No start</t>
    <phoneticPr fontId="3" type="noConversion"/>
  </si>
  <si>
    <t>No Start</t>
    <phoneticPr fontId="3" type="noConversion"/>
  </si>
  <si>
    <t>2nd</t>
    <phoneticPr fontId="3" type="noConversion"/>
  </si>
  <si>
    <t>3rd</t>
    <phoneticPr fontId="3" type="noConversion"/>
  </si>
  <si>
    <t>1st</t>
    <phoneticPr fontId="3" type="noConversion"/>
  </si>
  <si>
    <t>No start business</t>
    <phoneticPr fontId="3" type="noConversion"/>
  </si>
  <si>
    <t>Start business</t>
    <phoneticPr fontId="3" type="noConversion"/>
  </si>
  <si>
    <t>merge weight vector</t>
  </si>
  <si>
    <t>merged AHP result</t>
  </si>
  <si>
    <t>merge score vector</t>
  </si>
  <si>
    <t>B/C ratio</t>
  </si>
  <si>
    <t>irr</t>
    <phoneticPr fontId="3" type="noConversion"/>
  </si>
  <si>
    <t>npv</t>
    <phoneticPr fontId="3" type="noConversion"/>
  </si>
  <si>
    <t>i(f)</t>
    <phoneticPr fontId="3" type="noConversion"/>
  </si>
  <si>
    <t>f</t>
    <phoneticPr fontId="3" type="noConversion"/>
  </si>
  <si>
    <t>i</t>
    <phoneticPr fontId="3" type="noConversion"/>
  </si>
  <si>
    <t>Net cash flow</t>
    <phoneticPr fontId="3" type="noConversion"/>
  </si>
  <si>
    <t>Cash Outflow</t>
    <phoneticPr fontId="3" type="noConversion"/>
  </si>
  <si>
    <t>Cash Inflow</t>
    <phoneticPr fontId="3" type="noConversion"/>
  </si>
  <si>
    <t>year</t>
    <phoneticPr fontId="3" type="noConversion"/>
  </si>
  <si>
    <t>매출총이익</t>
    <phoneticPr fontId="3" type="noConversion"/>
  </si>
  <si>
    <t>비용</t>
    <phoneticPr fontId="3" type="noConversion"/>
  </si>
  <si>
    <t>매출원가</t>
    <phoneticPr fontId="3" type="noConversion"/>
  </si>
  <si>
    <t>매출액</t>
    <phoneticPr fontId="3" type="noConversion"/>
  </si>
  <si>
    <t>코섭</t>
    <phoneticPr fontId="3" type="noConversion"/>
  </si>
  <si>
    <t>와이즐리(면도기)</t>
    <phoneticPr fontId="3" type="noConversion"/>
  </si>
  <si>
    <t>Net Operatig Profit After Tax(TI - Tax)</t>
  </si>
  <si>
    <t>Tax(TI * R)</t>
  </si>
  <si>
    <t>Taxible income(GI - OE - D)</t>
    <phoneticPr fontId="3" type="noConversion"/>
  </si>
  <si>
    <t>Depreciation</t>
  </si>
  <si>
    <t>Operating Expense</t>
  </si>
  <si>
    <t>Gross income</t>
  </si>
  <si>
    <t>year</t>
  </si>
  <si>
    <t>Net income</t>
  </si>
  <si>
    <t>Income tax expense</t>
  </si>
  <si>
    <t>Income before tax</t>
  </si>
  <si>
    <t>Total Expense</t>
  </si>
  <si>
    <t>Depriciation</t>
  </si>
  <si>
    <t>Utility</t>
    <phoneticPr fontId="3" type="noConversion"/>
  </si>
  <si>
    <t>Facility</t>
  </si>
  <si>
    <t>Marketing</t>
  </si>
  <si>
    <t>Salaries</t>
  </si>
  <si>
    <t>Interest</t>
  </si>
  <si>
    <t>Interest</t>
    <phoneticPr fontId="3" type="noConversion"/>
  </si>
  <si>
    <t>Expense :</t>
  </si>
  <si>
    <t>Commision from vendor</t>
  </si>
  <si>
    <t>Operating Revenue :</t>
  </si>
  <si>
    <t>Gross Profit</t>
  </si>
  <si>
    <t>Total cost of goods sold</t>
  </si>
  <si>
    <t>Delivery</t>
  </si>
  <si>
    <t>Package Material</t>
  </si>
  <si>
    <t>Lip Products</t>
  </si>
  <si>
    <t>Software developing</t>
  </si>
  <si>
    <t>Cost of goods sold :</t>
  </si>
  <si>
    <t>Net Sales(구독료)</t>
  </si>
  <si>
    <t>Net Sales</t>
    <phoneticPr fontId="3" type="noConversion"/>
  </si>
  <si>
    <t>For the year ended December 31, 20XX</t>
  </si>
  <si>
    <t>Cosub, Inc.</t>
  </si>
  <si>
    <t>Income Statement</t>
  </si>
  <si>
    <t>year10</t>
  </si>
  <si>
    <t>year8</t>
  </si>
  <si>
    <t>year 6</t>
  </si>
  <si>
    <t>year 4</t>
  </si>
  <si>
    <t>year 2 - income statement</t>
  </si>
  <si>
    <t>Total(year)</t>
  </si>
  <si>
    <t>월세</t>
  </si>
  <si>
    <t>시설이용료</t>
  </si>
  <si>
    <t>전기세</t>
  </si>
  <si>
    <t>인터넷 비용</t>
  </si>
  <si>
    <t>storage</t>
  </si>
  <si>
    <t>mac</t>
  </si>
  <si>
    <t>monthly cost</t>
  </si>
  <si>
    <t>Git</t>
  </si>
  <si>
    <t>App Service</t>
  </si>
  <si>
    <t>Azure SQL Database</t>
  </si>
  <si>
    <t>가상 머신</t>
  </si>
  <si>
    <t>SW 운영 비용</t>
  </si>
  <si>
    <t>코섭 순이익 비율</t>
    <phoneticPr fontId="3" type="noConversion"/>
  </si>
  <si>
    <t>코섭이 가져가는 비용</t>
    <phoneticPr fontId="3" type="noConversion"/>
  </si>
  <si>
    <t xml:space="preserve">최종 화장품 구매 비용(1인, 1년) </t>
    <phoneticPr fontId="3" type="noConversion"/>
  </si>
  <si>
    <t>1년 구독료 (* 4)</t>
    <phoneticPr fontId="3" type="noConversion"/>
  </si>
  <si>
    <t>제품 1개당 실구입비용</t>
    <phoneticPr fontId="3" type="noConversion"/>
  </si>
  <si>
    <t>포장재 (217 * 8)</t>
    <phoneticPr fontId="3" type="noConversion"/>
  </si>
  <si>
    <t>Total</t>
  </si>
  <si>
    <t>수수료(할인비율)</t>
    <phoneticPr fontId="3" type="noConversion"/>
  </si>
  <si>
    <t>배송료 (2500 * 8)</t>
    <phoneticPr fontId="3" type="noConversion"/>
  </si>
  <si>
    <t>Salaries(year)</t>
  </si>
  <si>
    <t>1년 기준 화장품 비용</t>
    <phoneticPr fontId="3" type="noConversion"/>
  </si>
  <si>
    <t>화장품 도매가</t>
    <phoneticPr fontId="3" type="noConversion"/>
  </si>
  <si>
    <t>Num of employee</t>
  </si>
  <si>
    <t>3개 회사의 평균</t>
    <phoneticPr fontId="3" type="noConversion"/>
  </si>
  <si>
    <t>1회 구독료</t>
    <phoneticPr fontId="3" type="noConversion"/>
  </si>
  <si>
    <t>인건비</t>
  </si>
  <si>
    <t>화장품 평균 가격</t>
  </si>
  <si>
    <t>interest</t>
  </si>
  <si>
    <t>repayment</t>
  </si>
  <si>
    <t>toal</t>
  </si>
  <si>
    <t>Remained debt</t>
  </si>
  <si>
    <t>아니 데이터 이거 어케 나온거?</t>
  </si>
  <si>
    <t>data</t>
  </si>
  <si>
    <t>nas stroage</t>
  </si>
  <si>
    <t>i</t>
  </si>
  <si>
    <t>deposit</t>
    <phoneticPr fontId="3" type="noConversion"/>
  </si>
  <si>
    <t>코섭이 가져가는 비용</t>
  </si>
  <si>
    <t>배송</t>
    <phoneticPr fontId="3" type="noConversion"/>
  </si>
  <si>
    <t>first cost</t>
  </si>
  <si>
    <t>mac pro + pro display xdr</t>
    <phoneticPr fontId="3" type="noConversion"/>
  </si>
  <si>
    <t>원가</t>
    <phoneticPr fontId="3" type="noConversion"/>
  </si>
  <si>
    <t>포장재 단가</t>
  </si>
  <si>
    <t>Debt</t>
  </si>
  <si>
    <t>First cost</t>
  </si>
  <si>
    <t>Commision</t>
  </si>
  <si>
    <t>1인 구독료(year)</t>
  </si>
  <si>
    <t>코섭 예상 성장률</t>
  </si>
  <si>
    <t>화장품 회사에서 받는 수수료</t>
  </si>
  <si>
    <t>제휴 화장품 회사</t>
  </si>
  <si>
    <t>배달비용</t>
  </si>
  <si>
    <t>포장재 비용</t>
  </si>
  <si>
    <t>화장품 구매 비용</t>
  </si>
  <si>
    <t>구독료</t>
  </si>
  <si>
    <t>구독자 수</t>
  </si>
  <si>
    <t>구독자수</t>
  </si>
  <si>
    <t>Total expense per Sales</t>
    <phoneticPr fontId="3" type="noConversion"/>
  </si>
  <si>
    <t>Net income per Sales</t>
    <phoneticPr fontId="3" type="noConversion"/>
  </si>
  <si>
    <t>Net income</t>
    <phoneticPr fontId="3" type="noConversion"/>
  </si>
  <si>
    <t>Tax</t>
    <phoneticPr fontId="3" type="noConversion"/>
  </si>
  <si>
    <t>Gross profit before tax</t>
    <phoneticPr fontId="3" type="noConversion"/>
  </si>
  <si>
    <t>Other expense</t>
    <phoneticPr fontId="3" type="noConversion"/>
  </si>
  <si>
    <t>Other revenue</t>
    <phoneticPr fontId="3" type="noConversion"/>
  </si>
  <si>
    <t>Operating revenue</t>
    <phoneticPr fontId="3" type="noConversion"/>
  </si>
  <si>
    <t>Expense</t>
    <phoneticPr fontId="3" type="noConversion"/>
  </si>
  <si>
    <t>Gross profit</t>
    <phoneticPr fontId="3" type="noConversion"/>
  </si>
  <si>
    <t>Cost of goods sales</t>
    <phoneticPr fontId="3" type="noConversion"/>
  </si>
  <si>
    <t>Sales</t>
    <phoneticPr fontId="3" type="noConversion"/>
  </si>
  <si>
    <t>Oliveyoung</t>
    <phoneticPr fontId="3" type="noConversion"/>
  </si>
  <si>
    <t>Cosub</t>
    <phoneticPr fontId="3" type="noConversion"/>
  </si>
  <si>
    <t>Year 5</t>
    <phoneticPr fontId="3" type="noConversion"/>
  </si>
  <si>
    <t>start</t>
  </si>
  <si>
    <t>start</t>
    <phoneticPr fontId="3" type="noConversion"/>
  </si>
  <si>
    <t>No tart</t>
    <phoneticPr fontId="3" type="noConversion"/>
  </si>
  <si>
    <t>start business</t>
    <phoneticPr fontId="3" type="noConversion"/>
  </si>
  <si>
    <t>No Start business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</si>
</sst>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-* #,##0.000_-;\-* #,##0.000_-;_-* &quot;-&quot;_-;_-@_-"/>
    <numFmt numFmtId="177" formatCode="_-[$₩-412]* #,##0_-;\-[$₩-412]* #,##0_-;_-[$₩-412]* &quot;-&quot;??_-;_-@_-"/>
    <numFmt numFmtId="178" formatCode="_-[$₩-412]* #,##0.00_-;\-[$₩-412]* #,##0.00_-;_-[$₩-412]* &quot;-&quot;??_-;_-@_-"/>
    <numFmt numFmtId="179" formatCode="_-* #,##0.00_-;\-* #,##0.00_-;_-* &quot;-&quot;_-;_-@_-"/>
    <numFmt numFmtId="180" formatCode="&quot;₩&quot;#,##0_);[Red]\(&quot;₩&quot;#,##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000000"/>
      <name val="굴림"/>
      <family val="3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9" fontId="0" fillId="0" borderId="0" xfId="1" applyNumberFormat="1" applyFont="1">
      <alignment vertical="center"/>
    </xf>
    <xf numFmtId="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7" fontId="0" fillId="0" borderId="16" xfId="1" applyNumberFormat="1" applyFont="1" applyBorder="1">
      <alignment vertical="center"/>
    </xf>
    <xf numFmtId="41" fontId="0" fillId="6" borderId="16" xfId="1" applyFont="1" applyFill="1" applyBorder="1">
      <alignment vertical="center"/>
    </xf>
    <xf numFmtId="0" fontId="0" fillId="6" borderId="16" xfId="1" applyNumberFormat="1" applyFont="1" applyFill="1" applyBorder="1">
      <alignment vertical="center"/>
    </xf>
    <xf numFmtId="3" fontId="6" fillId="0" borderId="18" xfId="0" applyNumberFormat="1" applyFont="1" applyBorder="1" applyAlignment="1">
      <alignment horizontal="right" vertical="center" wrapText="1"/>
    </xf>
    <xf numFmtId="41" fontId="0" fillId="7" borderId="18" xfId="1" applyFont="1" applyFill="1" applyBorder="1">
      <alignment vertical="center"/>
    </xf>
    <xf numFmtId="41" fontId="0" fillId="0" borderId="19" xfId="1" applyFont="1" applyBorder="1">
      <alignment vertical="center"/>
    </xf>
    <xf numFmtId="41" fontId="0" fillId="0" borderId="20" xfId="1" applyFont="1" applyBorder="1">
      <alignment vertical="center"/>
    </xf>
    <xf numFmtId="41" fontId="2" fillId="0" borderId="20" xfId="1" applyFont="1" applyBorder="1">
      <alignment vertical="center"/>
    </xf>
    <xf numFmtId="41" fontId="0" fillId="0" borderId="21" xfId="1" applyFont="1" applyBorder="1">
      <alignment vertical="center"/>
    </xf>
    <xf numFmtId="41" fontId="0" fillId="8" borderId="19" xfId="1" applyFont="1" applyFill="1" applyBorder="1">
      <alignment vertical="center"/>
    </xf>
    <xf numFmtId="41" fontId="0" fillId="8" borderId="20" xfId="1" applyFont="1" applyFill="1" applyBorder="1">
      <alignment vertical="center"/>
    </xf>
    <xf numFmtId="41" fontId="2" fillId="8" borderId="20" xfId="1" applyFont="1" applyFill="1" applyBorder="1">
      <alignment vertical="center"/>
    </xf>
    <xf numFmtId="41" fontId="0" fillId="8" borderId="21" xfId="1" applyFont="1" applyFill="1" applyBorder="1">
      <alignment vertical="center"/>
    </xf>
    <xf numFmtId="41" fontId="0" fillId="8" borderId="22" xfId="1" applyFont="1" applyFill="1" applyBorder="1">
      <alignment vertical="center"/>
    </xf>
    <xf numFmtId="41" fontId="0" fillId="8" borderId="17" xfId="1" applyFont="1" applyFill="1" applyBorder="1">
      <alignment vertical="center"/>
    </xf>
    <xf numFmtId="41" fontId="2" fillId="8" borderId="17" xfId="1" applyFont="1" applyFill="1" applyBorder="1">
      <alignment vertical="center"/>
    </xf>
    <xf numFmtId="41" fontId="0" fillId="8" borderId="23" xfId="1" applyFont="1" applyFill="1" applyBorder="1">
      <alignment vertical="center"/>
    </xf>
    <xf numFmtId="41" fontId="0" fillId="0" borderId="24" xfId="1" applyFont="1" applyBorder="1">
      <alignment vertical="center"/>
    </xf>
    <xf numFmtId="41" fontId="2" fillId="0" borderId="25" xfId="1" applyFont="1" applyBorder="1">
      <alignment vertical="center"/>
    </xf>
    <xf numFmtId="41" fontId="0" fillId="8" borderId="24" xfId="1" applyFont="1" applyFill="1" applyBorder="1">
      <alignment vertical="center"/>
    </xf>
    <xf numFmtId="41" fontId="0" fillId="8" borderId="0" xfId="1" applyFont="1" applyFill="1">
      <alignment vertical="center"/>
    </xf>
    <xf numFmtId="41" fontId="2" fillId="8" borderId="25" xfId="1" applyFont="1" applyFill="1" applyBorder="1">
      <alignment vertical="center"/>
    </xf>
    <xf numFmtId="41" fontId="0" fillId="8" borderId="26" xfId="1" applyFont="1" applyFill="1" applyBorder="1">
      <alignment vertical="center"/>
    </xf>
    <xf numFmtId="41" fontId="0" fillId="8" borderId="0" xfId="1" applyFont="1" applyFill="1" applyBorder="1">
      <alignment vertical="center"/>
    </xf>
    <xf numFmtId="41" fontId="2" fillId="8" borderId="27" xfId="1" applyFont="1" applyFill="1" applyBorder="1">
      <alignment vertical="center"/>
    </xf>
    <xf numFmtId="41" fontId="2" fillId="0" borderId="0" xfId="1" applyFont="1">
      <alignment vertical="center"/>
    </xf>
    <xf numFmtId="41" fontId="0" fillId="0" borderId="25" xfId="1" applyFont="1" applyBorder="1">
      <alignment vertical="center"/>
    </xf>
    <xf numFmtId="41" fontId="2" fillId="8" borderId="0" xfId="1" applyFont="1" applyFill="1">
      <alignment vertical="center"/>
    </xf>
    <xf numFmtId="41" fontId="0" fillId="8" borderId="25" xfId="1" applyFont="1" applyFill="1" applyBorder="1">
      <alignment vertical="center"/>
    </xf>
    <xf numFmtId="41" fontId="2" fillId="8" borderId="0" xfId="1" applyFont="1" applyFill="1" applyBorder="1">
      <alignment vertical="center"/>
    </xf>
    <xf numFmtId="41" fontId="0" fillId="8" borderId="27" xfId="1" applyFont="1" applyFill="1" applyBorder="1">
      <alignment vertical="center"/>
    </xf>
    <xf numFmtId="41" fontId="0" fillId="8" borderId="28" xfId="1" applyFont="1" applyFill="1" applyBorder="1">
      <alignment vertical="center"/>
    </xf>
    <xf numFmtId="41" fontId="0" fillId="8" borderId="29" xfId="1" applyFont="1" applyFill="1" applyBorder="1">
      <alignment vertical="center"/>
    </xf>
    <xf numFmtId="41" fontId="2" fillId="8" borderId="30" xfId="1" applyFont="1" applyFill="1" applyBorder="1">
      <alignment vertical="center"/>
    </xf>
    <xf numFmtId="41" fontId="0" fillId="9" borderId="24" xfId="1" applyFont="1" applyFill="1" applyBorder="1">
      <alignment vertical="center"/>
    </xf>
    <xf numFmtId="41" fontId="0" fillId="9" borderId="25" xfId="1" applyFont="1" applyFill="1" applyBorder="1">
      <alignment vertical="center"/>
    </xf>
    <xf numFmtId="41" fontId="0" fillId="3" borderId="24" xfId="1" applyFont="1" applyFill="1" applyBorder="1">
      <alignment vertical="center"/>
    </xf>
    <xf numFmtId="41" fontId="0" fillId="3" borderId="25" xfId="1" applyFont="1" applyFill="1" applyBorder="1">
      <alignment vertical="center"/>
    </xf>
    <xf numFmtId="41" fontId="0" fillId="9" borderId="31" xfId="1" applyFont="1" applyFill="1" applyBorder="1">
      <alignment vertical="center"/>
    </xf>
    <xf numFmtId="41" fontId="0" fillId="9" borderId="33" xfId="1" applyFont="1" applyFill="1" applyBorder="1">
      <alignment vertical="center"/>
    </xf>
    <xf numFmtId="41" fontId="0" fillId="3" borderId="31" xfId="1" applyFont="1" applyFill="1" applyBorder="1">
      <alignment vertical="center"/>
    </xf>
    <xf numFmtId="41" fontId="0" fillId="3" borderId="33" xfId="1" applyFont="1" applyFill="1" applyBorder="1">
      <alignment vertical="center"/>
    </xf>
    <xf numFmtId="41" fontId="0" fillId="2" borderId="16" xfId="1" applyFont="1" applyFill="1" applyBorder="1">
      <alignment vertical="center"/>
    </xf>
    <xf numFmtId="41" fontId="2" fillId="2" borderId="16" xfId="1" applyFont="1" applyFill="1" applyBorder="1">
      <alignment vertical="center"/>
    </xf>
    <xf numFmtId="178" fontId="0" fillId="0" borderId="0" xfId="1" applyNumberFormat="1" applyFont="1">
      <alignment vertical="center"/>
    </xf>
    <xf numFmtId="178" fontId="7" fillId="0" borderId="0" xfId="0" applyNumberFormat="1" applyFont="1">
      <alignment vertical="center"/>
    </xf>
    <xf numFmtId="178" fontId="0" fillId="2" borderId="34" xfId="1" applyNumberFormat="1" applyFont="1" applyFill="1" applyBorder="1">
      <alignment vertical="center"/>
    </xf>
    <xf numFmtId="41" fontId="0" fillId="3" borderId="0" xfId="1" applyFont="1" applyFill="1">
      <alignment vertical="center"/>
    </xf>
    <xf numFmtId="41" fontId="8" fillId="2" borderId="16" xfId="1" applyFont="1" applyFill="1" applyBorder="1">
      <alignment vertical="center"/>
    </xf>
    <xf numFmtId="179" fontId="0" fillId="0" borderId="0" xfId="1" applyNumberFormat="1" applyFont="1">
      <alignment vertical="center"/>
    </xf>
    <xf numFmtId="41" fontId="0" fillId="0" borderId="31" xfId="1" applyFont="1" applyBorder="1">
      <alignment vertical="center"/>
    </xf>
    <xf numFmtId="41" fontId="2" fillId="8" borderId="16" xfId="1" applyFont="1" applyFill="1" applyBorder="1">
      <alignment vertical="center"/>
    </xf>
    <xf numFmtId="10" fontId="0" fillId="0" borderId="1" xfId="2" applyNumberFormat="1" applyFont="1" applyBorder="1">
      <alignment vertical="center"/>
    </xf>
    <xf numFmtId="0" fontId="0" fillId="0" borderId="35" xfId="0" applyBorder="1">
      <alignment vertical="center"/>
    </xf>
    <xf numFmtId="0" fontId="0" fillId="10" borderId="1" xfId="0" applyFill="1" applyBorder="1">
      <alignment vertical="center"/>
    </xf>
    <xf numFmtId="0" fontId="0" fillId="10" borderId="35" xfId="0" applyFill="1" applyBorder="1">
      <alignment vertical="center"/>
    </xf>
    <xf numFmtId="0" fontId="0" fillId="0" borderId="36" xfId="0" applyBorder="1">
      <alignment vertical="center"/>
    </xf>
    <xf numFmtId="0" fontId="0" fillId="0" borderId="11" xfId="0" applyBorder="1">
      <alignment vertical="center"/>
    </xf>
    <xf numFmtId="0" fontId="0" fillId="0" borderId="37" xfId="0" applyBorder="1">
      <alignment vertical="center"/>
    </xf>
    <xf numFmtId="0" fontId="0" fillId="0" borderId="10" xfId="0" applyBorder="1">
      <alignment vertical="center"/>
    </xf>
    <xf numFmtId="9" fontId="0" fillId="0" borderId="0" xfId="2" applyFont="1">
      <alignment vertical="center"/>
    </xf>
    <xf numFmtId="9" fontId="0" fillId="2" borderId="16" xfId="2" applyFont="1" applyFill="1" applyBorder="1">
      <alignment vertical="center"/>
    </xf>
    <xf numFmtId="0" fontId="0" fillId="0" borderId="0" xfId="1" applyNumberFormat="1" applyFont="1">
      <alignment vertical="center"/>
    </xf>
    <xf numFmtId="42" fontId="8" fillId="0" borderId="0" xfId="0" applyNumberFormat="1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9" fontId="8" fillId="0" borderId="0" xfId="2" applyFont="1" applyFill="1" applyBorder="1">
      <alignment vertical="center"/>
    </xf>
    <xf numFmtId="10" fontId="0" fillId="0" borderId="0" xfId="2" applyNumberFormat="1" applyFont="1" applyFill="1" applyBorder="1">
      <alignment vertical="center"/>
    </xf>
    <xf numFmtId="0" fontId="0" fillId="11" borderId="0" xfId="0" applyFill="1">
      <alignment vertical="center"/>
    </xf>
    <xf numFmtId="10" fontId="0" fillId="0" borderId="0" xfId="2" applyNumberFormat="1" applyFont="1" applyAlignment="1">
      <alignment vertical="center"/>
    </xf>
    <xf numFmtId="9" fontId="8" fillId="0" borderId="0" xfId="2" applyFont="1" applyFill="1" applyBorder="1" applyAlignment="1">
      <alignment vertical="center"/>
    </xf>
    <xf numFmtId="0" fontId="0" fillId="3" borderId="0" xfId="0" applyFill="1">
      <alignment vertical="center"/>
    </xf>
    <xf numFmtId="178" fontId="8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42" fontId="8" fillId="3" borderId="0" xfId="0" applyNumberFormat="1" applyFont="1" applyFill="1">
      <alignment vertical="center"/>
    </xf>
    <xf numFmtId="177" fontId="0" fillId="3" borderId="0" xfId="0" applyNumberFormat="1" applyFill="1">
      <alignment vertical="center"/>
    </xf>
    <xf numFmtId="41" fontId="2" fillId="3" borderId="32" xfId="1" applyFont="1" applyFill="1" applyBorder="1" applyAlignment="1">
      <alignment horizontal="center" vertical="center"/>
    </xf>
    <xf numFmtId="41" fontId="0" fillId="3" borderId="0" xfId="1" applyFont="1" applyFill="1" applyAlignment="1">
      <alignment horizontal="center" vertical="center"/>
    </xf>
    <xf numFmtId="41" fontId="2" fillId="9" borderId="32" xfId="1" applyFont="1" applyFill="1" applyBorder="1" applyAlignment="1">
      <alignment horizontal="center" vertical="center"/>
    </xf>
    <xf numFmtId="41" fontId="0" fillId="9" borderId="0" xfId="1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4400"/>
              <a:t>NPV</a:t>
            </a:r>
            <a:endParaRPr lang="ko-KR" altLang="en-US" sz="4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2565682902320515E-3"/>
                  <c:y val="6.90196057119159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72-482B-9143-5C5FDAA90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Statement'!$B$90:$L$90</c:f>
              <c:numCache>
                <c:formatCode>_-[$₩-412]* #,##0_-;\-[$₩-412]* #,##0_-;_-[$₩-412]* "-"??_-;_-@_-</c:formatCode>
                <c:ptCount val="11"/>
                <c:pt idx="0">
                  <c:v>-2091170000</c:v>
                </c:pt>
                <c:pt idx="1">
                  <c:v>-1395688779.5127201</c:v>
                </c:pt>
                <c:pt idx="2">
                  <c:v>-700207559.02543998</c:v>
                </c:pt>
                <c:pt idx="3">
                  <c:v>-443603051.51671982</c:v>
                </c:pt>
                <c:pt idx="4">
                  <c:v>-186998544.00800133</c:v>
                </c:pt>
                <c:pt idx="5">
                  <c:v>950337800.95599747</c:v>
                </c:pt>
                <c:pt idx="6">
                  <c:v>2087674145.9199982</c:v>
                </c:pt>
                <c:pt idx="7">
                  <c:v>2599079810.8917694</c:v>
                </c:pt>
                <c:pt idx="8">
                  <c:v>3110485475.8635483</c:v>
                </c:pt>
                <c:pt idx="9">
                  <c:v>3325408253.2632141</c:v>
                </c:pt>
                <c:pt idx="10">
                  <c:v>3540331030.6628723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82B-9143-5C5FDAA9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31312"/>
        <c:axId val="458830000"/>
      </c:barChart>
      <c:catAx>
        <c:axId val="4588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830000"/>
        <c:crosses val="autoZero"/>
        <c:auto val="1"/>
        <c:lblAlgn val="ctr"/>
        <c:lblOffset val="100"/>
        <c:noMultiLvlLbl val="0"/>
      </c:catAx>
      <c:valAx>
        <c:axId val="458830000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88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485776</xdr:colOff>
      <xdr:row>71</xdr:row>
      <xdr:rowOff>123825</xdr:rowOff>
    </xdr:from>
    <xdr:ext cx="2105556" cy="1491146"/>
    <xdr:pic>
      <xdr:nvPicPr>
        <xdr:cNvPr id="2" name="그림 12">
          <a:extLst>
            <a:ext uri="{FF2B5EF4-FFF2-40B4-BE49-F238E27FC236}">
              <a16:creationId xmlns:a16="http://schemas.microsoft.com/office/drawing/2014/main" id="{201A0840-45D2-4C37-BC70-1566D26B92D2}"/>
            </a:ext>
            <a:ext uri="{147F2762-F138-4A5C-976F-8EAC2B608ADB}">
              <a16:predDERef xmlns:a16="http://schemas.microsoft.com/office/drawing/2014/main" pred="{74084AFE-23F7-0D70-DC5A-077D6E715D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1815"/>
        <a:stretch/>
      </xdr:blipFill>
      <xdr:spPr>
        <a:xfrm>
          <a:off x="4486276" y="15001875"/>
          <a:ext cx="2105556" cy="1491146"/>
        </a:xfrm>
        <a:prstGeom prst="rect">
          <a:avLst/>
        </a:prstGeom>
      </xdr:spPr>
    </xdr:pic>
    <xdr:clientData/>
  </xdr:oneCellAnchor>
  <xdr:twoCellAnchor>
    <xdr:from>
      <xdr:col>13</xdr:col>
      <xdr:colOff>1253835</xdr:colOff>
      <xdr:row>82</xdr:row>
      <xdr:rowOff>142009</xdr:rowOff>
    </xdr:from>
    <xdr:to>
      <xdr:col>16</xdr:col>
      <xdr:colOff>457199</xdr:colOff>
      <xdr:row>93</xdr:row>
      <xdr:rowOff>17318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92B97C-BF8E-4D34-8608-398F78830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43A8-96BB-4F64-A771-08ED238AF28E}">
  <dimension ref="A1:X96"/>
  <sheetViews>
    <sheetView topLeftCell="G47" zoomScale="55" zoomScaleNormal="55" workbookViewId="0">
      <selection activeCell="O101" sqref="O101"/>
    </sheetView>
  </sheetViews>
  <sheetFormatPr defaultColWidth="8.75" defaultRowHeight="16.5" x14ac:dyDescent="0.3"/>
  <cols>
    <col min="1" max="1" width="29" style="51" customWidth="1"/>
    <col min="2" max="7" width="23.625" style="51" customWidth="1"/>
    <col min="8" max="8" width="28.375" style="51" customWidth="1"/>
    <col min="9" max="24" width="23.625" style="51" customWidth="1"/>
    <col min="25" max="16384" width="8.75" style="51"/>
  </cols>
  <sheetData>
    <row r="1" spans="1:22" x14ac:dyDescent="0.3">
      <c r="A1" s="99" t="s">
        <v>159</v>
      </c>
    </row>
    <row r="2" spans="1:22" x14ac:dyDescent="0.3">
      <c r="A2" s="98" t="s">
        <v>70</v>
      </c>
      <c r="B2" s="118">
        <v>0</v>
      </c>
      <c r="C2" s="118">
        <v>1</v>
      </c>
      <c r="D2" s="118">
        <v>2</v>
      </c>
      <c r="E2" s="118">
        <v>3</v>
      </c>
      <c r="F2" s="118">
        <v>4</v>
      </c>
      <c r="G2" s="118">
        <v>5</v>
      </c>
      <c r="H2" s="118">
        <v>6</v>
      </c>
      <c r="I2" s="118">
        <v>7</v>
      </c>
      <c r="J2" s="118">
        <v>8</v>
      </c>
      <c r="K2" s="118">
        <v>9</v>
      </c>
      <c r="L2" s="118">
        <v>10</v>
      </c>
    </row>
    <row r="3" spans="1:22" x14ac:dyDescent="0.3">
      <c r="A3" s="98" t="s">
        <v>158</v>
      </c>
      <c r="B3" s="51">
        <f t="shared" ref="B3:G3" si="0">C3*(1-C10)</f>
        <v>8562.0311280000005</v>
      </c>
      <c r="C3" s="51">
        <f t="shared" si="0"/>
        <v>12231.473040000001</v>
      </c>
      <c r="D3" s="51">
        <f t="shared" si="0"/>
        <v>20385.788400000001</v>
      </c>
      <c r="E3" s="51">
        <f t="shared" si="0"/>
        <v>45301.752000000008</v>
      </c>
      <c r="F3" s="51">
        <f t="shared" si="0"/>
        <v>113254.38</v>
      </c>
      <c r="G3" s="51">
        <f t="shared" si="0"/>
        <v>377514.6</v>
      </c>
      <c r="H3" s="51">
        <v>629191</v>
      </c>
      <c r="I3" s="51">
        <f>H3+H3*I10</f>
        <v>773904.92999999993</v>
      </c>
      <c r="J3" s="51">
        <f>I3+I3*J10</f>
        <v>866773.52159999986</v>
      </c>
      <c r="K3" s="51">
        <f>J3+J3*K10</f>
        <v>936115.40332799987</v>
      </c>
      <c r="L3" s="51">
        <f>K3+K3*L10</f>
        <v>964198.86542783992</v>
      </c>
    </row>
    <row r="4" spans="1:22" x14ac:dyDescent="0.3">
      <c r="A4" s="98" t="s">
        <v>157</v>
      </c>
      <c r="B4" s="51">
        <f t="shared" ref="B4:L4" si="1">$B$12*B3</f>
        <v>599342178.96000004</v>
      </c>
      <c r="C4" s="51">
        <f t="shared" si="1"/>
        <v>856203112.80000007</v>
      </c>
      <c r="D4" s="51">
        <f t="shared" si="1"/>
        <v>1427005188</v>
      </c>
      <c r="E4" s="51">
        <f t="shared" si="1"/>
        <v>3171122640.0000005</v>
      </c>
      <c r="F4" s="51">
        <f t="shared" si="1"/>
        <v>7927806600</v>
      </c>
      <c r="G4" s="51">
        <f t="shared" si="1"/>
        <v>26426022000</v>
      </c>
      <c r="H4" s="51">
        <f t="shared" si="1"/>
        <v>44043370000</v>
      </c>
      <c r="I4" s="51">
        <f t="shared" si="1"/>
        <v>54173345099.999992</v>
      </c>
      <c r="J4" s="51">
        <f t="shared" si="1"/>
        <v>60674146511.999992</v>
      </c>
      <c r="K4" s="51">
        <f t="shared" si="1"/>
        <v>65528078232.959991</v>
      </c>
      <c r="L4" s="51">
        <f t="shared" si="1"/>
        <v>67493920579.948792</v>
      </c>
    </row>
    <row r="5" spans="1:22" x14ac:dyDescent="0.3">
      <c r="A5" s="98" t="s">
        <v>156</v>
      </c>
      <c r="B5" s="51">
        <f t="shared" ref="B5:L5" si="2">B3*$B$24</f>
        <v>428101556.40000004</v>
      </c>
      <c r="C5" s="51">
        <f t="shared" si="2"/>
        <v>611573652</v>
      </c>
      <c r="D5" s="51">
        <f t="shared" si="2"/>
        <v>1019289420.0000001</v>
      </c>
      <c r="E5" s="51">
        <f t="shared" si="2"/>
        <v>2265087600.0000005</v>
      </c>
      <c r="F5" s="51">
        <f t="shared" si="2"/>
        <v>5662719000</v>
      </c>
      <c r="G5" s="51">
        <f t="shared" si="2"/>
        <v>18875730000</v>
      </c>
      <c r="H5" s="51">
        <f t="shared" si="2"/>
        <v>31459550000</v>
      </c>
      <c r="I5" s="51">
        <f t="shared" si="2"/>
        <v>38695246500</v>
      </c>
      <c r="J5" s="51">
        <f t="shared" si="2"/>
        <v>43338676079.999992</v>
      </c>
      <c r="K5" s="51">
        <f t="shared" si="2"/>
        <v>46805770166.399994</v>
      </c>
      <c r="L5" s="51">
        <f t="shared" si="2"/>
        <v>48209943271.391998</v>
      </c>
    </row>
    <row r="6" spans="1:22" x14ac:dyDescent="0.3">
      <c r="A6" s="98" t="s">
        <v>155</v>
      </c>
      <c r="B6" s="51">
        <f t="shared" ref="B6:L6" si="3">$B$13*B3*8</f>
        <v>14863686.038208</v>
      </c>
      <c r="C6" s="51">
        <f t="shared" si="3"/>
        <v>21233837.197440002</v>
      </c>
      <c r="D6" s="51">
        <f t="shared" si="3"/>
        <v>35389728.6624</v>
      </c>
      <c r="E6" s="51">
        <f t="shared" si="3"/>
        <v>78643841.472000018</v>
      </c>
      <c r="F6" s="51">
        <f t="shared" si="3"/>
        <v>196609603.68000001</v>
      </c>
      <c r="G6" s="51">
        <f t="shared" si="3"/>
        <v>655365345.5999999</v>
      </c>
      <c r="H6" s="51">
        <f t="shared" si="3"/>
        <v>1092275576</v>
      </c>
      <c r="I6" s="51">
        <f t="shared" si="3"/>
        <v>1343498958.4799998</v>
      </c>
      <c r="J6" s="51">
        <f t="shared" si="3"/>
        <v>1504718833.4975998</v>
      </c>
      <c r="K6" s="51">
        <f t="shared" si="3"/>
        <v>1625096340.1774077</v>
      </c>
      <c r="L6" s="51">
        <f t="shared" si="3"/>
        <v>1673849230.38273</v>
      </c>
    </row>
    <row r="7" spans="1:22" x14ac:dyDescent="0.3">
      <c r="A7" s="98" t="s">
        <v>154</v>
      </c>
      <c r="B7" s="51">
        <f t="shared" ref="B7:L7" si="4">$B$14*B3*8</f>
        <v>171240622.56</v>
      </c>
      <c r="C7" s="51">
        <f t="shared" si="4"/>
        <v>244629460.80000001</v>
      </c>
      <c r="D7" s="51">
        <f t="shared" si="4"/>
        <v>407715768</v>
      </c>
      <c r="E7" s="51">
        <f t="shared" si="4"/>
        <v>906035040.00000012</v>
      </c>
      <c r="F7" s="51">
        <f t="shared" si="4"/>
        <v>2265087600</v>
      </c>
      <c r="G7" s="51">
        <f t="shared" si="4"/>
        <v>7550292000</v>
      </c>
      <c r="H7" s="51">
        <f t="shared" si="4"/>
        <v>12583820000</v>
      </c>
      <c r="I7" s="51">
        <f t="shared" si="4"/>
        <v>15478098599.999998</v>
      </c>
      <c r="J7" s="51">
        <f t="shared" si="4"/>
        <v>17335470431.999996</v>
      </c>
      <c r="K7" s="51">
        <f t="shared" si="4"/>
        <v>18722308066.559998</v>
      </c>
      <c r="L7" s="51">
        <f t="shared" si="4"/>
        <v>19283977308.556797</v>
      </c>
    </row>
    <row r="8" spans="1:22" x14ac:dyDescent="0.3">
      <c r="A8" s="98" t="s">
        <v>153</v>
      </c>
      <c r="B8" s="51">
        <v>500</v>
      </c>
      <c r="C8" s="51">
        <f>1.3*B8</f>
        <v>650</v>
      </c>
      <c r="D8" s="51">
        <f>C8*1.4</f>
        <v>909.99999999999989</v>
      </c>
      <c r="E8" s="51">
        <f>D8*1.5</f>
        <v>1364.9999999999998</v>
      </c>
      <c r="F8" s="51">
        <f>E8*1.6</f>
        <v>2183.9999999999995</v>
      </c>
      <c r="G8" s="51">
        <f>F8*1.7</f>
        <v>3712.7999999999993</v>
      </c>
      <c r="H8" s="51">
        <f>G8*1.2</f>
        <v>4455.3599999999988</v>
      </c>
      <c r="I8" s="51">
        <f>H8*1.02</f>
        <v>4544.4671999999991</v>
      </c>
      <c r="J8" s="51">
        <f>I8*1.03</f>
        <v>4680.8012159999989</v>
      </c>
      <c r="K8" s="51">
        <f>J8*1.01</f>
        <v>4727.6092281599986</v>
      </c>
      <c r="L8" s="51">
        <f>K8*1.01</f>
        <v>4774.8853204415982</v>
      </c>
    </row>
    <row r="9" spans="1:22" x14ac:dyDescent="0.3">
      <c r="A9" s="98" t="s">
        <v>152</v>
      </c>
      <c r="B9" s="51">
        <f t="shared" ref="B9:L9" si="5">$F$14*B3</f>
        <v>70756625.241792008</v>
      </c>
      <c r="C9" s="51">
        <f t="shared" si="5"/>
        <v>101080893.20256001</v>
      </c>
      <c r="D9" s="51">
        <f t="shared" si="5"/>
        <v>168468155.33760002</v>
      </c>
      <c r="E9" s="51">
        <f t="shared" si="5"/>
        <v>374373678.52800006</v>
      </c>
      <c r="F9" s="51">
        <f t="shared" si="5"/>
        <v>935934196.32000005</v>
      </c>
      <c r="G9" s="51">
        <f t="shared" si="5"/>
        <v>3119780654.3999996</v>
      </c>
      <c r="H9" s="51">
        <f t="shared" si="5"/>
        <v>5199634424</v>
      </c>
      <c r="I9" s="51">
        <f t="shared" si="5"/>
        <v>6395550341.5199995</v>
      </c>
      <c r="J9" s="51">
        <f t="shared" si="5"/>
        <v>7163016382.5023985</v>
      </c>
      <c r="K9" s="51">
        <f t="shared" si="5"/>
        <v>7736057693.1025906</v>
      </c>
      <c r="L9" s="51">
        <f t="shared" si="5"/>
        <v>7968139423.895669</v>
      </c>
    </row>
    <row r="10" spans="1:22" s="116" customFormat="1" x14ac:dyDescent="0.3">
      <c r="A10" s="117" t="s">
        <v>151</v>
      </c>
      <c r="C10" s="116">
        <v>0.3</v>
      </c>
      <c r="D10" s="116">
        <v>0.4</v>
      </c>
      <c r="E10" s="116">
        <v>0.55000000000000004</v>
      </c>
      <c r="F10" s="116">
        <v>0.6</v>
      </c>
      <c r="G10" s="116">
        <v>0.7</v>
      </c>
      <c r="H10" s="116">
        <v>0.4</v>
      </c>
      <c r="I10" s="116">
        <v>0.23</v>
      </c>
      <c r="J10" s="116">
        <v>0.12</v>
      </c>
      <c r="K10" s="116">
        <v>0.08</v>
      </c>
      <c r="L10" s="116">
        <v>0.03</v>
      </c>
    </row>
    <row r="12" spans="1:22" x14ac:dyDescent="0.3">
      <c r="A12" s="99" t="s">
        <v>150</v>
      </c>
      <c r="B12" s="51">
        <f>J23</f>
        <v>70000</v>
      </c>
      <c r="E12" s="99" t="s">
        <v>149</v>
      </c>
      <c r="F12" s="116">
        <v>0.2</v>
      </c>
      <c r="H12" s="99" t="s">
        <v>148</v>
      </c>
      <c r="K12" s="99" t="s">
        <v>147</v>
      </c>
    </row>
    <row r="13" spans="1:22" x14ac:dyDescent="0.3">
      <c r="A13" s="99" t="s">
        <v>146</v>
      </c>
      <c r="B13" s="51">
        <v>217</v>
      </c>
      <c r="E13" s="98" t="s">
        <v>145</v>
      </c>
      <c r="F13" s="51">
        <f>B24*55%</f>
        <v>27500.000000000004</v>
      </c>
      <c r="H13" s="98" t="s">
        <v>144</v>
      </c>
      <c r="I13" s="51">
        <f>(69729000 + 9148000)*10</f>
        <v>788770000</v>
      </c>
      <c r="K13" s="98" t="s">
        <v>143</v>
      </c>
      <c r="L13" s="51">
        <f>I17</f>
        <v>2091170000</v>
      </c>
    </row>
    <row r="14" spans="1:22" x14ac:dyDescent="0.3">
      <c r="A14" s="99" t="s">
        <v>142</v>
      </c>
      <c r="B14" s="51">
        <v>2500</v>
      </c>
      <c r="E14" s="51" t="s">
        <v>141</v>
      </c>
      <c r="F14" s="51">
        <f>J24</f>
        <v>8264</v>
      </c>
      <c r="H14" s="98" t="s">
        <v>140</v>
      </c>
      <c r="I14" s="51">
        <v>250000000</v>
      </c>
      <c r="K14" s="98" t="s">
        <v>139</v>
      </c>
      <c r="L14" s="55">
        <v>5.28E-2</v>
      </c>
      <c r="M14" s="55"/>
    </row>
    <row r="15" spans="1:22" x14ac:dyDescent="0.3">
      <c r="H15" s="98" t="s">
        <v>138</v>
      </c>
      <c r="I15" s="51">
        <f>4*13100000</f>
        <v>52400000</v>
      </c>
      <c r="K15" s="98" t="s">
        <v>70</v>
      </c>
      <c r="L15" s="51">
        <v>0</v>
      </c>
      <c r="M15" s="51">
        <v>1</v>
      </c>
      <c r="N15" s="51">
        <v>2</v>
      </c>
      <c r="O15" s="51">
        <v>3</v>
      </c>
      <c r="P15" s="51">
        <v>4</v>
      </c>
      <c r="Q15" s="51">
        <v>5</v>
      </c>
      <c r="R15" s="51">
        <v>6</v>
      </c>
      <c r="S15" s="51">
        <v>7</v>
      </c>
      <c r="T15" s="51">
        <v>8</v>
      </c>
      <c r="U15" s="51">
        <v>9</v>
      </c>
      <c r="V15" s="51">
        <v>10</v>
      </c>
    </row>
    <row r="16" spans="1:22" x14ac:dyDescent="0.3">
      <c r="H16" s="51" t="s">
        <v>137</v>
      </c>
      <c r="I16" s="51">
        <f>1000000000</f>
        <v>1000000000</v>
      </c>
      <c r="J16" s="51" t="s">
        <v>136</v>
      </c>
      <c r="K16" s="98" t="s">
        <v>135</v>
      </c>
      <c r="L16" s="51">
        <f>L13</f>
        <v>2091170000</v>
      </c>
      <c r="M16" s="51">
        <f t="shared" ref="M16:V16" si="6">L16-M17</f>
        <v>1882053000</v>
      </c>
      <c r="N16" s="51">
        <f t="shared" si="6"/>
        <v>1672936000</v>
      </c>
      <c r="O16" s="51">
        <f t="shared" si="6"/>
        <v>1463819000</v>
      </c>
      <c r="P16" s="51">
        <f t="shared" si="6"/>
        <v>1254702000</v>
      </c>
      <c r="Q16" s="51">
        <f t="shared" si="6"/>
        <v>1045585000</v>
      </c>
      <c r="R16" s="51">
        <f t="shared" si="6"/>
        <v>836468000</v>
      </c>
      <c r="S16" s="51">
        <f t="shared" si="6"/>
        <v>627351000</v>
      </c>
      <c r="T16" s="51">
        <f t="shared" si="6"/>
        <v>418234000</v>
      </c>
      <c r="U16" s="51">
        <f t="shared" si="6"/>
        <v>209117000</v>
      </c>
      <c r="V16" s="51">
        <f t="shared" si="6"/>
        <v>0</v>
      </c>
    </row>
    <row r="17" spans="1:22" x14ac:dyDescent="0.3">
      <c r="H17" s="51" t="s">
        <v>134</v>
      </c>
      <c r="I17" s="51">
        <f>SUM(I13:I16)</f>
        <v>2091170000</v>
      </c>
      <c r="K17" s="98" t="s">
        <v>133</v>
      </c>
      <c r="M17" s="51">
        <f t="shared" ref="M17:V17" si="7">$L$16/10</f>
        <v>209117000</v>
      </c>
      <c r="N17" s="51">
        <f t="shared" si="7"/>
        <v>209117000</v>
      </c>
      <c r="O17" s="51">
        <f t="shared" si="7"/>
        <v>209117000</v>
      </c>
      <c r="P17" s="51">
        <f t="shared" si="7"/>
        <v>209117000</v>
      </c>
      <c r="Q17" s="51">
        <f t="shared" si="7"/>
        <v>209117000</v>
      </c>
      <c r="R17" s="51">
        <f t="shared" si="7"/>
        <v>209117000</v>
      </c>
      <c r="S17" s="51">
        <f t="shared" si="7"/>
        <v>209117000</v>
      </c>
      <c r="T17" s="51">
        <f t="shared" si="7"/>
        <v>209117000</v>
      </c>
      <c r="U17" s="51">
        <f t="shared" si="7"/>
        <v>209117000</v>
      </c>
      <c r="V17" s="51">
        <f t="shared" si="7"/>
        <v>209117000</v>
      </c>
    </row>
    <row r="18" spans="1:22" ht="17.25" thickBot="1" x14ac:dyDescent="0.35">
      <c r="K18" s="98" t="s">
        <v>132</v>
      </c>
      <c r="M18" s="51">
        <f t="shared" ref="M18:V18" si="8">L16*$L$14</f>
        <v>110413776</v>
      </c>
      <c r="N18" s="51">
        <f t="shared" si="8"/>
        <v>99372398.400000006</v>
      </c>
      <c r="O18" s="51">
        <f t="shared" si="8"/>
        <v>88331020.799999997</v>
      </c>
      <c r="P18" s="51">
        <f t="shared" si="8"/>
        <v>77289643.200000003</v>
      </c>
      <c r="Q18" s="51">
        <f t="shared" si="8"/>
        <v>66248265.600000001</v>
      </c>
      <c r="R18" s="51">
        <f t="shared" si="8"/>
        <v>55206888</v>
      </c>
      <c r="S18" s="51">
        <f t="shared" si="8"/>
        <v>44165510.399999999</v>
      </c>
      <c r="T18" s="51">
        <f t="shared" si="8"/>
        <v>33124132.800000001</v>
      </c>
      <c r="U18" s="51">
        <f t="shared" si="8"/>
        <v>22082755.199999999</v>
      </c>
      <c r="V18" s="51">
        <f t="shared" si="8"/>
        <v>11041377.6</v>
      </c>
    </row>
    <row r="19" spans="1:22" ht="17.25" thickBot="1" x14ac:dyDescent="0.35">
      <c r="A19" s="99" t="s">
        <v>131</v>
      </c>
      <c r="E19" s="99" t="s">
        <v>130</v>
      </c>
      <c r="I19" s="115" t="s">
        <v>129</v>
      </c>
      <c r="J19" s="7">
        <v>17500</v>
      </c>
    </row>
    <row r="20" spans="1:22" x14ac:dyDescent="0.3">
      <c r="A20" s="98" t="s">
        <v>128</v>
      </c>
      <c r="B20" s="51">
        <f>(13310+9940+10105)/3</f>
        <v>11118.333333333334</v>
      </c>
      <c r="E20" s="98" t="s">
        <v>127</v>
      </c>
      <c r="F20" s="51">
        <v>6</v>
      </c>
      <c r="I20" s="115" t="s">
        <v>126</v>
      </c>
      <c r="J20" s="7">
        <v>50000</v>
      </c>
    </row>
    <row r="21" spans="1:22" x14ac:dyDescent="0.3">
      <c r="A21" s="98" t="s">
        <v>125</v>
      </c>
      <c r="B21" s="51">
        <f>B20*8</f>
        <v>88946.666666666672</v>
      </c>
      <c r="E21" s="98" t="s">
        <v>124</v>
      </c>
      <c r="F21" s="51">
        <v>60000000</v>
      </c>
      <c r="I21" s="114" t="s">
        <v>123</v>
      </c>
      <c r="J21" s="5">
        <v>10000</v>
      </c>
    </row>
    <row r="22" spans="1:22" ht="17.25" thickBot="1" x14ac:dyDescent="0.35">
      <c r="A22" s="98" t="s">
        <v>122</v>
      </c>
      <c r="B22" s="52">
        <v>0</v>
      </c>
      <c r="E22" s="98" t="s">
        <v>121</v>
      </c>
      <c r="F22" s="51">
        <f>F20*F21</f>
        <v>360000000</v>
      </c>
      <c r="I22" s="114" t="s">
        <v>120</v>
      </c>
      <c r="J22" s="5">
        <f>217*8</f>
        <v>1736</v>
      </c>
    </row>
    <row r="23" spans="1:22" ht="17.25" thickBot="1" x14ac:dyDescent="0.35">
      <c r="A23" s="98" t="s">
        <v>119</v>
      </c>
      <c r="B23" s="51">
        <f>B20-B20*B22</f>
        <v>11118.333333333334</v>
      </c>
      <c r="I23" s="113" t="s">
        <v>118</v>
      </c>
      <c r="J23" s="112">
        <f>J19*4</f>
        <v>70000</v>
      </c>
    </row>
    <row r="24" spans="1:22" ht="17.25" thickBot="1" x14ac:dyDescent="0.35">
      <c r="A24" s="98" t="s">
        <v>117</v>
      </c>
      <c r="B24" s="51">
        <f>J20</f>
        <v>50000</v>
      </c>
      <c r="I24" s="111" t="s">
        <v>116</v>
      </c>
      <c r="J24" s="110">
        <f>J23-J22-J21-J20</f>
        <v>8264</v>
      </c>
    </row>
    <row r="25" spans="1:22" ht="17.25" thickBot="1" x14ac:dyDescent="0.35">
      <c r="I25" s="109" t="s">
        <v>115</v>
      </c>
      <c r="J25" s="108">
        <f>J24/J23</f>
        <v>0.11805714285714286</v>
      </c>
    </row>
    <row r="26" spans="1:22" x14ac:dyDescent="0.3">
      <c r="A26" s="99" t="s">
        <v>114</v>
      </c>
      <c r="E26" s="107"/>
    </row>
    <row r="27" spans="1:22" x14ac:dyDescent="0.3">
      <c r="A27" s="98" t="s">
        <v>113</v>
      </c>
      <c r="B27" s="106">
        <v>219693</v>
      </c>
    </row>
    <row r="28" spans="1:22" x14ac:dyDescent="0.3">
      <c r="A28" s="98" t="s">
        <v>112</v>
      </c>
      <c r="B28" s="73">
        <v>537059</v>
      </c>
    </row>
    <row r="29" spans="1:22" x14ac:dyDescent="0.3">
      <c r="A29" s="98" t="s">
        <v>111</v>
      </c>
      <c r="B29" s="73">
        <v>78837</v>
      </c>
    </row>
    <row r="30" spans="1:22" x14ac:dyDescent="0.3">
      <c r="A30" s="98" t="s">
        <v>110</v>
      </c>
      <c r="B30" s="61">
        <v>166608</v>
      </c>
    </row>
    <row r="31" spans="1:22" x14ac:dyDescent="0.3">
      <c r="A31" s="98" t="s">
        <v>109</v>
      </c>
      <c r="B31" s="51">
        <f>SUM(B27:B30)</f>
        <v>1002197</v>
      </c>
    </row>
    <row r="32" spans="1:22" x14ac:dyDescent="0.3">
      <c r="A32" s="98" t="s">
        <v>102</v>
      </c>
      <c r="B32" s="51">
        <f>12*B31</f>
        <v>12026364</v>
      </c>
    </row>
    <row r="33" spans="1:24" x14ac:dyDescent="0.3">
      <c r="A33" s="81"/>
    </row>
    <row r="34" spans="1:24" x14ac:dyDescent="0.3">
      <c r="C34" s="51">
        <f>I13*10%</f>
        <v>78877000</v>
      </c>
    </row>
    <row r="35" spans="1:24" x14ac:dyDescent="0.3">
      <c r="A35" s="99" t="s">
        <v>67</v>
      </c>
      <c r="C35" s="51">
        <f>I15*10%</f>
        <v>5240000</v>
      </c>
      <c r="D35" s="52"/>
      <c r="F35" s="105"/>
    </row>
    <row r="36" spans="1:24" x14ac:dyDescent="0.3">
      <c r="A36" s="104" t="s">
        <v>57</v>
      </c>
      <c r="B36" s="52">
        <v>0</v>
      </c>
      <c r="C36" s="103">
        <v>1</v>
      </c>
      <c r="D36" s="103">
        <v>2</v>
      </c>
      <c r="E36" s="103">
        <v>3</v>
      </c>
      <c r="F36" s="103">
        <v>4</v>
      </c>
      <c r="G36" s="103">
        <v>5</v>
      </c>
      <c r="H36" s="103">
        <v>6</v>
      </c>
      <c r="I36" s="103">
        <v>7</v>
      </c>
      <c r="J36" s="103">
        <v>8</v>
      </c>
      <c r="K36" s="103">
        <v>9</v>
      </c>
      <c r="L36" s="103">
        <v>10</v>
      </c>
    </row>
    <row r="37" spans="1:24" s="100" customFormat="1" x14ac:dyDescent="0.3">
      <c r="A37" s="102" t="s">
        <v>108</v>
      </c>
      <c r="B37" s="101">
        <v>0</v>
      </c>
      <c r="C37" s="100">
        <f t="shared" ref="C37:L37" si="9">$C$34</f>
        <v>78877000</v>
      </c>
      <c r="D37" s="100">
        <f t="shared" si="9"/>
        <v>78877000</v>
      </c>
      <c r="E37" s="100">
        <f t="shared" si="9"/>
        <v>78877000</v>
      </c>
      <c r="F37" s="100">
        <f t="shared" si="9"/>
        <v>78877000</v>
      </c>
      <c r="G37" s="100">
        <f t="shared" si="9"/>
        <v>78877000</v>
      </c>
      <c r="H37" s="100">
        <f t="shared" si="9"/>
        <v>78877000</v>
      </c>
      <c r="I37" s="100">
        <f t="shared" si="9"/>
        <v>78877000</v>
      </c>
      <c r="J37" s="100">
        <f t="shared" si="9"/>
        <v>78877000</v>
      </c>
      <c r="K37" s="100">
        <f t="shared" si="9"/>
        <v>78877000</v>
      </c>
      <c r="L37" s="100">
        <f t="shared" si="9"/>
        <v>78877000</v>
      </c>
    </row>
    <row r="38" spans="1:24" s="100" customFormat="1" x14ac:dyDescent="0.3">
      <c r="A38" s="102" t="s">
        <v>107</v>
      </c>
      <c r="B38" s="101">
        <v>0</v>
      </c>
      <c r="C38" s="100">
        <f t="shared" ref="C38:L38" si="10">$C$35</f>
        <v>5240000</v>
      </c>
      <c r="D38" s="100">
        <f t="shared" si="10"/>
        <v>5240000</v>
      </c>
      <c r="E38" s="100">
        <f t="shared" si="10"/>
        <v>5240000</v>
      </c>
      <c r="F38" s="100">
        <f t="shared" si="10"/>
        <v>5240000</v>
      </c>
      <c r="G38" s="100">
        <f t="shared" si="10"/>
        <v>5240000</v>
      </c>
      <c r="H38" s="100">
        <f t="shared" si="10"/>
        <v>5240000</v>
      </c>
      <c r="I38" s="100">
        <f t="shared" si="10"/>
        <v>5240000</v>
      </c>
      <c r="J38" s="100">
        <f t="shared" si="10"/>
        <v>5240000</v>
      </c>
      <c r="K38" s="100">
        <f t="shared" si="10"/>
        <v>5240000</v>
      </c>
      <c r="L38" s="100">
        <f t="shared" si="10"/>
        <v>5240000</v>
      </c>
    </row>
    <row r="39" spans="1:24" s="100" customFormat="1" x14ac:dyDescent="0.3">
      <c r="A39" s="100" t="s">
        <v>11</v>
      </c>
      <c r="B39" s="100">
        <v>0</v>
      </c>
      <c r="C39" s="100">
        <f t="shared" ref="C39:L39" si="11">C37+C38</f>
        <v>84117000</v>
      </c>
      <c r="D39" s="100">
        <f t="shared" si="11"/>
        <v>84117000</v>
      </c>
      <c r="E39" s="100">
        <f t="shared" si="11"/>
        <v>84117000</v>
      </c>
      <c r="F39" s="100">
        <f t="shared" si="11"/>
        <v>84117000</v>
      </c>
      <c r="G39" s="100">
        <f t="shared" si="11"/>
        <v>84117000</v>
      </c>
      <c r="H39" s="100">
        <f t="shared" si="11"/>
        <v>84117000</v>
      </c>
      <c r="I39" s="100">
        <f t="shared" si="11"/>
        <v>84117000</v>
      </c>
      <c r="J39" s="100">
        <f t="shared" si="11"/>
        <v>84117000</v>
      </c>
      <c r="K39" s="100">
        <f t="shared" si="11"/>
        <v>84117000</v>
      </c>
      <c r="L39" s="100">
        <f t="shared" si="11"/>
        <v>84117000</v>
      </c>
    </row>
    <row r="41" spans="1:24" x14ac:dyDescent="0.3">
      <c r="A41" s="81" t="s">
        <v>106</v>
      </c>
      <c r="B41" s="81" t="s">
        <v>105</v>
      </c>
      <c r="E41" s="99" t="s">
        <v>104</v>
      </c>
    </row>
    <row r="42" spans="1:24" x14ac:dyDescent="0.3">
      <c r="A42" s="51">
        <v>200000</v>
      </c>
      <c r="B42" s="51">
        <v>300000</v>
      </c>
      <c r="E42" s="98" t="s">
        <v>103</v>
      </c>
      <c r="F42" s="51">
        <v>21000000</v>
      </c>
    </row>
    <row r="43" spans="1:24" x14ac:dyDescent="0.3">
      <c r="E43" s="98" t="s">
        <v>102</v>
      </c>
      <c r="F43" s="51">
        <f>F42*12</f>
        <v>252000000</v>
      </c>
    </row>
    <row r="46" spans="1:24" x14ac:dyDescent="0.3">
      <c r="A46" s="51" t="s">
        <v>101</v>
      </c>
      <c r="F46" s="51" t="s">
        <v>100</v>
      </c>
      <c r="K46" s="51" t="s">
        <v>99</v>
      </c>
      <c r="P46" s="51" t="s">
        <v>98</v>
      </c>
      <c r="U46" s="51" t="s">
        <v>97</v>
      </c>
    </row>
    <row r="47" spans="1:24" x14ac:dyDescent="0.3">
      <c r="A47" s="97"/>
      <c r="B47" s="133" t="s">
        <v>96</v>
      </c>
      <c r="C47" s="133"/>
      <c r="D47" s="96"/>
      <c r="F47" s="95"/>
      <c r="G47" s="135" t="s">
        <v>96</v>
      </c>
      <c r="H47" s="135"/>
      <c r="I47" s="94"/>
      <c r="K47" s="95"/>
      <c r="L47" s="135" t="s">
        <v>96</v>
      </c>
      <c r="M47" s="135"/>
      <c r="N47" s="94"/>
      <c r="P47" s="95"/>
      <c r="Q47" s="135" t="s">
        <v>96</v>
      </c>
      <c r="R47" s="135"/>
      <c r="S47" s="94"/>
      <c r="U47" s="95"/>
      <c r="V47" s="135" t="s">
        <v>96</v>
      </c>
      <c r="W47" s="135"/>
      <c r="X47" s="94"/>
    </row>
    <row r="48" spans="1:24" x14ac:dyDescent="0.3">
      <c r="A48" s="93"/>
      <c r="B48" s="134" t="s">
        <v>95</v>
      </c>
      <c r="C48" s="134"/>
      <c r="D48" s="92"/>
      <c r="F48" s="91"/>
      <c r="G48" s="136" t="s">
        <v>95</v>
      </c>
      <c r="H48" s="136"/>
      <c r="I48" s="90"/>
      <c r="K48" s="91"/>
      <c r="L48" s="136" t="s">
        <v>95</v>
      </c>
      <c r="M48" s="136"/>
      <c r="N48" s="90"/>
      <c r="P48" s="91"/>
      <c r="Q48" s="136" t="s">
        <v>95</v>
      </c>
      <c r="R48" s="136"/>
      <c r="S48" s="90"/>
      <c r="U48" s="91"/>
      <c r="V48" s="136" t="s">
        <v>95</v>
      </c>
      <c r="W48" s="136"/>
      <c r="X48" s="90"/>
    </row>
    <row r="49" spans="1:24" x14ac:dyDescent="0.3">
      <c r="A49" s="93"/>
      <c r="B49" s="134" t="s">
        <v>94</v>
      </c>
      <c r="C49" s="134"/>
      <c r="D49" s="92"/>
      <c r="F49" s="91"/>
      <c r="G49" s="136" t="s">
        <v>94</v>
      </c>
      <c r="H49" s="136"/>
      <c r="I49" s="90"/>
      <c r="K49" s="91"/>
      <c r="L49" s="136" t="s">
        <v>94</v>
      </c>
      <c r="M49" s="136"/>
      <c r="N49" s="90"/>
      <c r="P49" s="91"/>
      <c r="Q49" s="136" t="s">
        <v>94</v>
      </c>
      <c r="R49" s="136"/>
      <c r="S49" s="90"/>
      <c r="U49" s="91"/>
      <c r="V49" s="136" t="s">
        <v>94</v>
      </c>
      <c r="W49" s="136"/>
      <c r="X49" s="90"/>
    </row>
    <row r="50" spans="1:24" x14ac:dyDescent="0.3">
      <c r="A50" s="89" t="s">
        <v>93</v>
      </c>
      <c r="B50" s="88"/>
      <c r="C50" s="88">
        <f>D4</f>
        <v>1427005188</v>
      </c>
      <c r="D50" s="87"/>
      <c r="F50" s="77" t="s">
        <v>92</v>
      </c>
      <c r="G50" s="76"/>
      <c r="H50" s="76">
        <f>F4</f>
        <v>7927806600</v>
      </c>
      <c r="I50" s="75"/>
      <c r="K50" s="74" t="s">
        <v>92</v>
      </c>
      <c r="M50" s="51">
        <f>H4</f>
        <v>44043370000</v>
      </c>
      <c r="N50" s="73"/>
      <c r="P50" s="74" t="s">
        <v>92</v>
      </c>
      <c r="R50" s="51">
        <f>J4</f>
        <v>60674146511.999992</v>
      </c>
      <c r="S50" s="73"/>
      <c r="U50" s="74" t="s">
        <v>92</v>
      </c>
      <c r="W50" s="51">
        <f>L4</f>
        <v>67493920579.948792</v>
      </c>
      <c r="X50" s="73"/>
    </row>
    <row r="51" spans="1:24" x14ac:dyDescent="0.3">
      <c r="A51" s="80" t="s">
        <v>91</v>
      </c>
      <c r="B51" s="79"/>
      <c r="C51" s="79"/>
      <c r="D51" s="78"/>
      <c r="F51" s="77" t="s">
        <v>91</v>
      </c>
      <c r="G51" s="76"/>
      <c r="H51" s="76"/>
      <c r="I51" s="75"/>
      <c r="K51" s="74" t="s">
        <v>91</v>
      </c>
      <c r="N51" s="73"/>
      <c r="P51" s="74" t="s">
        <v>91</v>
      </c>
      <c r="S51" s="73"/>
      <c r="U51" s="74" t="s">
        <v>91</v>
      </c>
      <c r="X51" s="73"/>
    </row>
    <row r="52" spans="1:24" x14ac:dyDescent="0.3">
      <c r="A52" s="86"/>
      <c r="B52" s="79" t="s">
        <v>90</v>
      </c>
      <c r="C52" s="79">
        <f>B32</f>
        <v>12026364</v>
      </c>
      <c r="D52" s="78"/>
      <c r="F52" s="84"/>
      <c r="G52" s="76" t="s">
        <v>90</v>
      </c>
      <c r="H52" s="76">
        <f>B32</f>
        <v>12026364</v>
      </c>
      <c r="I52" s="75"/>
      <c r="K52" s="82"/>
      <c r="L52" s="51" t="s">
        <v>90</v>
      </c>
      <c r="M52" s="51">
        <f>$B$32</f>
        <v>12026364</v>
      </c>
      <c r="N52" s="73"/>
      <c r="P52" s="82"/>
      <c r="Q52" s="51" t="s">
        <v>90</v>
      </c>
      <c r="R52" s="51">
        <f>$B$32</f>
        <v>12026364</v>
      </c>
      <c r="S52" s="73"/>
      <c r="U52" s="82"/>
      <c r="V52" s="51" t="s">
        <v>90</v>
      </c>
      <c r="W52" s="51">
        <f>$B$32</f>
        <v>12026364</v>
      </c>
      <c r="X52" s="73"/>
    </row>
    <row r="53" spans="1:24" x14ac:dyDescent="0.3">
      <c r="A53" s="86"/>
      <c r="B53" s="79" t="s">
        <v>89</v>
      </c>
      <c r="C53" s="79">
        <f>D5</f>
        <v>1019289420.0000001</v>
      </c>
      <c r="D53" s="78"/>
      <c r="F53" s="84"/>
      <c r="G53" s="76" t="s">
        <v>89</v>
      </c>
      <c r="H53" s="76">
        <f>F5</f>
        <v>5662719000</v>
      </c>
      <c r="I53" s="75"/>
      <c r="K53" s="82"/>
      <c r="L53" s="51" t="s">
        <v>89</v>
      </c>
      <c r="M53" s="51">
        <f>H5</f>
        <v>31459550000</v>
      </c>
      <c r="N53" s="73"/>
      <c r="P53" s="82"/>
      <c r="Q53" s="51" t="s">
        <v>89</v>
      </c>
      <c r="R53" s="51">
        <f>J5</f>
        <v>43338676079.999992</v>
      </c>
      <c r="S53" s="73"/>
      <c r="U53" s="82"/>
      <c r="V53" s="51" t="s">
        <v>89</v>
      </c>
      <c r="W53" s="51">
        <f>L5</f>
        <v>48209943271.391998</v>
      </c>
      <c r="X53" s="73"/>
    </row>
    <row r="54" spans="1:24" x14ac:dyDescent="0.3">
      <c r="A54" s="86"/>
      <c r="B54" s="79" t="s">
        <v>88</v>
      </c>
      <c r="C54" s="79">
        <f>D6</f>
        <v>35389728.6624</v>
      </c>
      <c r="D54" s="78"/>
      <c r="F54" s="84"/>
      <c r="G54" s="76" t="s">
        <v>88</v>
      </c>
      <c r="H54" s="76">
        <f>F6</f>
        <v>196609603.68000001</v>
      </c>
      <c r="I54" s="75"/>
      <c r="K54" s="82"/>
      <c r="L54" s="51" t="s">
        <v>88</v>
      </c>
      <c r="M54" s="51">
        <f>H6</f>
        <v>1092275576</v>
      </c>
      <c r="N54" s="73"/>
      <c r="P54" s="82"/>
      <c r="Q54" s="51" t="s">
        <v>88</v>
      </c>
      <c r="R54" s="51">
        <f>J6</f>
        <v>1504718833.4975998</v>
      </c>
      <c r="S54" s="73"/>
      <c r="U54" s="82"/>
      <c r="V54" s="51" t="s">
        <v>88</v>
      </c>
      <c r="W54" s="51">
        <f>L6</f>
        <v>1673849230.38273</v>
      </c>
      <c r="X54" s="73"/>
    </row>
    <row r="55" spans="1:24" x14ac:dyDescent="0.3">
      <c r="A55" s="86"/>
      <c r="B55" s="79" t="s">
        <v>87</v>
      </c>
      <c r="C55" s="79">
        <f>D7</f>
        <v>407715768</v>
      </c>
      <c r="D55" s="78"/>
      <c r="F55" s="84"/>
      <c r="G55" s="76" t="s">
        <v>87</v>
      </c>
      <c r="H55" s="76">
        <f>F7</f>
        <v>2265087600</v>
      </c>
      <c r="I55" s="75"/>
      <c r="K55" s="82"/>
      <c r="L55" s="51" t="s">
        <v>87</v>
      </c>
      <c r="M55" s="51">
        <f>H7</f>
        <v>12583820000</v>
      </c>
      <c r="N55" s="73"/>
      <c r="P55" s="82"/>
      <c r="Q55" s="51" t="s">
        <v>87</v>
      </c>
      <c r="R55" s="51">
        <f>J7</f>
        <v>17335470431.999996</v>
      </c>
      <c r="S55" s="73"/>
      <c r="U55" s="82"/>
      <c r="V55" s="51" t="s">
        <v>87</v>
      </c>
      <c r="W55" s="51">
        <f>L7</f>
        <v>19283977308.556797</v>
      </c>
      <c r="X55" s="73"/>
    </row>
    <row r="56" spans="1:24" x14ac:dyDescent="0.3">
      <c r="A56" s="86"/>
      <c r="B56" s="85" t="s">
        <v>86</v>
      </c>
      <c r="C56" s="79"/>
      <c r="D56" s="78">
        <f>SUM(C52:C55)</f>
        <v>1474421280.6624002</v>
      </c>
      <c r="F56" s="84"/>
      <c r="G56" s="83" t="s">
        <v>86</v>
      </c>
      <c r="H56" s="76"/>
      <c r="I56" s="75">
        <f>SUM(H52:H55)</f>
        <v>8136442567.6800003</v>
      </c>
      <c r="K56" s="82"/>
      <c r="L56" s="81" t="s">
        <v>86</v>
      </c>
      <c r="N56" s="73">
        <f>SUM(M52:M55)</f>
        <v>45147671940</v>
      </c>
      <c r="P56" s="82"/>
      <c r="Q56" s="81" t="s">
        <v>86</v>
      </c>
      <c r="S56" s="73">
        <f>SUM(R52:R55)</f>
        <v>62190891709.497589</v>
      </c>
      <c r="U56" s="82"/>
      <c r="V56" s="81" t="s">
        <v>86</v>
      </c>
      <c r="X56" s="73">
        <f>SUM(W52:W55)</f>
        <v>69179796174.331528</v>
      </c>
    </row>
    <row r="57" spans="1:24" x14ac:dyDescent="0.3">
      <c r="A57" s="80"/>
      <c r="B57" s="85" t="s">
        <v>85</v>
      </c>
      <c r="C57" s="85"/>
      <c r="D57" s="78">
        <f>C50-D56</f>
        <v>-47416092.662400246</v>
      </c>
      <c r="F57" s="77"/>
      <c r="G57" s="83" t="s">
        <v>85</v>
      </c>
      <c r="H57" s="83"/>
      <c r="I57" s="75">
        <f>H50-I56</f>
        <v>-208635967.68000031</v>
      </c>
      <c r="K57" s="74"/>
      <c r="L57" s="81" t="s">
        <v>85</v>
      </c>
      <c r="M57" s="81"/>
      <c r="N57" s="73">
        <f>M50-N56</f>
        <v>-1104301940</v>
      </c>
      <c r="P57" s="74"/>
      <c r="Q57" s="81" t="s">
        <v>85</v>
      </c>
      <c r="R57" s="81"/>
      <c r="S57" s="73">
        <f>R50-S56</f>
        <v>-1516745197.4975967</v>
      </c>
      <c r="U57" s="74"/>
      <c r="V57" s="81" t="s">
        <v>85</v>
      </c>
      <c r="W57" s="81"/>
      <c r="X57" s="73">
        <f>W50-X56</f>
        <v>-1685875594.3827362</v>
      </c>
    </row>
    <row r="58" spans="1:24" x14ac:dyDescent="0.3">
      <c r="A58" s="80" t="s">
        <v>84</v>
      </c>
      <c r="B58" s="79"/>
      <c r="C58" s="79"/>
      <c r="D58" s="78"/>
      <c r="F58" s="77" t="s">
        <v>84</v>
      </c>
      <c r="G58" s="76"/>
      <c r="H58" s="76"/>
      <c r="I58" s="75"/>
      <c r="K58" s="74" t="s">
        <v>84</v>
      </c>
      <c r="N58" s="73"/>
      <c r="P58" s="74" t="s">
        <v>84</v>
      </c>
      <c r="S58" s="73"/>
      <c r="U58" s="74" t="s">
        <v>84</v>
      </c>
      <c r="X58" s="73"/>
    </row>
    <row r="59" spans="1:24" x14ac:dyDescent="0.3">
      <c r="A59" s="86"/>
      <c r="B59" s="79" t="s">
        <v>83</v>
      </c>
      <c r="C59" s="79">
        <f>D9</f>
        <v>168468155.33760002</v>
      </c>
      <c r="D59" s="78"/>
      <c r="F59" s="84"/>
      <c r="G59" s="76" t="s">
        <v>83</v>
      </c>
      <c r="H59" s="76">
        <f>F9</f>
        <v>935934196.32000005</v>
      </c>
      <c r="I59" s="75"/>
      <c r="K59" s="82"/>
      <c r="L59" s="51" t="s">
        <v>83</v>
      </c>
      <c r="M59" s="51">
        <f>H9</f>
        <v>5199634424</v>
      </c>
      <c r="N59" s="73"/>
      <c r="P59" s="82"/>
      <c r="Q59" s="51" t="s">
        <v>83</v>
      </c>
      <c r="R59" s="51">
        <f>J9</f>
        <v>7163016382.5023985</v>
      </c>
      <c r="S59" s="73"/>
      <c r="U59" s="82"/>
      <c r="V59" s="51" t="s">
        <v>83</v>
      </c>
      <c r="W59" s="51">
        <f>L9</f>
        <v>7968139423.895669</v>
      </c>
      <c r="X59" s="73"/>
    </row>
    <row r="60" spans="1:24" x14ac:dyDescent="0.3">
      <c r="A60" s="80" t="s">
        <v>82</v>
      </c>
      <c r="B60" s="79"/>
      <c r="C60" s="79"/>
      <c r="D60" s="78"/>
      <c r="F60" s="77" t="s">
        <v>82</v>
      </c>
      <c r="G60" s="76"/>
      <c r="H60" s="76"/>
      <c r="I60" s="75"/>
      <c r="K60" s="74" t="s">
        <v>82</v>
      </c>
      <c r="N60" s="73"/>
      <c r="P60" s="74" t="s">
        <v>82</v>
      </c>
      <c r="S60" s="73"/>
      <c r="U60" s="74" t="s">
        <v>82</v>
      </c>
      <c r="X60" s="73"/>
    </row>
    <row r="61" spans="1:24" x14ac:dyDescent="0.3">
      <c r="A61" s="80"/>
      <c r="B61" s="79" t="s">
        <v>81</v>
      </c>
      <c r="C61" s="79">
        <f>N18</f>
        <v>99372398.400000006</v>
      </c>
      <c r="D61" s="78"/>
      <c r="F61" s="77"/>
      <c r="G61" s="76" t="s">
        <v>81</v>
      </c>
      <c r="H61" s="76">
        <f>P18</f>
        <v>77289643.200000003</v>
      </c>
      <c r="I61" s="75"/>
      <c r="K61" s="74"/>
      <c r="L61" s="51" t="s">
        <v>81</v>
      </c>
      <c r="M61" s="51">
        <f>R18</f>
        <v>55206888</v>
      </c>
      <c r="N61" s="73"/>
      <c r="P61" s="74"/>
      <c r="Q61" s="51" t="s">
        <v>80</v>
      </c>
      <c r="R61" s="51">
        <f>T18</f>
        <v>33124132.800000001</v>
      </c>
      <c r="S61" s="73"/>
      <c r="U61" s="74"/>
      <c r="V61" s="51" t="s">
        <v>80</v>
      </c>
      <c r="W61" s="51">
        <f>V18</f>
        <v>11041377.6</v>
      </c>
      <c r="X61" s="73"/>
    </row>
    <row r="62" spans="1:24" x14ac:dyDescent="0.3">
      <c r="A62" s="86"/>
      <c r="B62" s="79" t="s">
        <v>79</v>
      </c>
      <c r="C62" s="79">
        <f>F22</f>
        <v>360000000</v>
      </c>
      <c r="D62" s="78"/>
      <c r="F62" s="84"/>
      <c r="G62" s="76" t="s">
        <v>79</v>
      </c>
      <c r="H62" s="76">
        <f>$F$22</f>
        <v>360000000</v>
      </c>
      <c r="I62" s="75"/>
      <c r="K62" s="82"/>
      <c r="L62" s="51" t="s">
        <v>79</v>
      </c>
      <c r="M62" s="51">
        <f>$F$22</f>
        <v>360000000</v>
      </c>
      <c r="N62" s="73"/>
      <c r="P62" s="82"/>
      <c r="Q62" s="51" t="s">
        <v>79</v>
      </c>
      <c r="R62" s="51">
        <f>$F$22</f>
        <v>360000000</v>
      </c>
      <c r="S62" s="73"/>
      <c r="U62" s="82"/>
      <c r="V62" s="51" t="s">
        <v>79</v>
      </c>
      <c r="W62" s="51">
        <f>$F$22</f>
        <v>360000000</v>
      </c>
      <c r="X62" s="73"/>
    </row>
    <row r="63" spans="1:24" x14ac:dyDescent="0.3">
      <c r="A63" s="86"/>
      <c r="B63" s="79" t="s">
        <v>78</v>
      </c>
      <c r="C63" s="79">
        <f>C59*0.15</f>
        <v>25270223.300640002</v>
      </c>
      <c r="D63" s="78"/>
      <c r="F63" s="84"/>
      <c r="G63" s="76" t="s">
        <v>78</v>
      </c>
      <c r="H63" s="76">
        <f>H59*0.15</f>
        <v>140390129.44800001</v>
      </c>
      <c r="I63" s="75"/>
      <c r="K63" s="82"/>
      <c r="L63" s="51" t="s">
        <v>78</v>
      </c>
      <c r="M63" s="51">
        <f>M59*0.15</f>
        <v>779945163.60000002</v>
      </c>
      <c r="N63" s="73"/>
      <c r="P63" s="82"/>
      <c r="Q63" s="51" t="s">
        <v>78</v>
      </c>
      <c r="R63" s="51">
        <f>R59*0.15</f>
        <v>1074452457.3753598</v>
      </c>
      <c r="S63" s="73"/>
      <c r="U63" s="82"/>
      <c r="V63" s="51" t="s">
        <v>78</v>
      </c>
      <c r="W63" s="51">
        <f>W59*0.15</f>
        <v>1195220913.5843503</v>
      </c>
      <c r="X63" s="73"/>
    </row>
    <row r="64" spans="1:24" x14ac:dyDescent="0.3">
      <c r="A64" s="86"/>
      <c r="B64" s="79" t="s">
        <v>77</v>
      </c>
      <c r="C64" s="79">
        <f>F43</f>
        <v>252000000</v>
      </c>
      <c r="D64" s="78"/>
      <c r="F64" s="84"/>
      <c r="G64" s="76" t="s">
        <v>77</v>
      </c>
      <c r="H64" s="76">
        <f>$F$43</f>
        <v>252000000</v>
      </c>
      <c r="I64" s="75"/>
      <c r="K64" s="82"/>
      <c r="L64" s="51" t="s">
        <v>77</v>
      </c>
      <c r="M64" s="51">
        <f>$F$43</f>
        <v>252000000</v>
      </c>
      <c r="N64" s="73"/>
      <c r="P64" s="82"/>
      <c r="Q64" s="51" t="s">
        <v>77</v>
      </c>
      <c r="R64" s="51">
        <f>$F$43</f>
        <v>252000000</v>
      </c>
      <c r="S64" s="73"/>
      <c r="U64" s="82"/>
      <c r="V64" s="51" t="s">
        <v>77</v>
      </c>
      <c r="W64" s="51">
        <f>$F$43</f>
        <v>252000000</v>
      </c>
      <c r="X64" s="73"/>
    </row>
    <row r="65" spans="1:24" x14ac:dyDescent="0.3">
      <c r="A65" s="86"/>
      <c r="B65" s="79" t="s">
        <v>76</v>
      </c>
      <c r="C65" s="79">
        <f>A42+B42</f>
        <v>500000</v>
      </c>
      <c r="D65" s="78"/>
      <c r="F65" s="84"/>
      <c r="G65" s="79" t="s">
        <v>76</v>
      </c>
      <c r="H65" s="76">
        <f>$A$42+$B$42</f>
        <v>500000</v>
      </c>
      <c r="I65" s="75"/>
      <c r="K65" s="82"/>
      <c r="L65" s="79" t="s">
        <v>76</v>
      </c>
      <c r="M65" s="51">
        <f>$A$42+$B$42</f>
        <v>500000</v>
      </c>
      <c r="N65" s="73"/>
      <c r="P65" s="82"/>
      <c r="Q65" s="79" t="s">
        <v>76</v>
      </c>
      <c r="R65" s="51">
        <f>$A$42+$B$42</f>
        <v>500000</v>
      </c>
      <c r="S65" s="73"/>
      <c r="U65" s="82"/>
      <c r="V65" s="79" t="s">
        <v>76</v>
      </c>
      <c r="W65" s="51">
        <f>$A$42+$B$42</f>
        <v>500000</v>
      </c>
      <c r="X65" s="73"/>
    </row>
    <row r="66" spans="1:24" x14ac:dyDescent="0.3">
      <c r="A66" s="86"/>
      <c r="B66" s="79" t="s">
        <v>75</v>
      </c>
      <c r="C66" s="79">
        <f>D39</f>
        <v>84117000</v>
      </c>
      <c r="D66" s="78"/>
      <c r="F66" s="84"/>
      <c r="G66" s="76" t="s">
        <v>75</v>
      </c>
      <c r="H66" s="76">
        <f>F39</f>
        <v>84117000</v>
      </c>
      <c r="I66" s="75"/>
      <c r="K66" s="82"/>
      <c r="L66" s="51" t="s">
        <v>75</v>
      </c>
      <c r="M66" s="51">
        <f>H39</f>
        <v>84117000</v>
      </c>
      <c r="N66" s="73"/>
      <c r="P66" s="82"/>
      <c r="Q66" s="51" t="s">
        <v>75</v>
      </c>
      <c r="R66" s="51">
        <f>J39</f>
        <v>84117000</v>
      </c>
      <c r="S66" s="73"/>
      <c r="U66" s="82"/>
      <c r="V66" s="51" t="s">
        <v>75</v>
      </c>
      <c r="W66" s="51">
        <f>L39</f>
        <v>84117000</v>
      </c>
      <c r="X66" s="73"/>
    </row>
    <row r="67" spans="1:24" x14ac:dyDescent="0.3">
      <c r="A67" s="86"/>
      <c r="B67" s="85" t="s">
        <v>74</v>
      </c>
      <c r="C67" s="79"/>
      <c r="D67" s="78">
        <f>SUM(C61:C66)</f>
        <v>821259621.70063996</v>
      </c>
      <c r="F67" s="84"/>
      <c r="G67" s="83" t="s">
        <v>74</v>
      </c>
      <c r="H67" s="76"/>
      <c r="I67" s="75">
        <f>SUM(H61:H66)</f>
        <v>914296772.648</v>
      </c>
      <c r="K67" s="82"/>
      <c r="L67" s="81" t="s">
        <v>74</v>
      </c>
      <c r="N67" s="73">
        <f>SUM(M61:M66)</f>
        <v>1531769051.5999999</v>
      </c>
      <c r="P67" s="82"/>
      <c r="Q67" s="81" t="s">
        <v>74</v>
      </c>
      <c r="S67" s="73">
        <f>SUM(R61:R66)</f>
        <v>1804193590.1753597</v>
      </c>
      <c r="U67" s="82"/>
      <c r="V67" s="81" t="s">
        <v>74</v>
      </c>
      <c r="X67" s="73">
        <f>SUM(W61:W66)</f>
        <v>1902879291.1843505</v>
      </c>
    </row>
    <row r="68" spans="1:24" x14ac:dyDescent="0.3">
      <c r="A68" s="80" t="s">
        <v>73</v>
      </c>
      <c r="B68" s="79"/>
      <c r="C68" s="79">
        <f>D57+C59-D67</f>
        <v>-700207559.02544022</v>
      </c>
      <c r="D68" s="78"/>
      <c r="F68" s="77" t="s">
        <v>73</v>
      </c>
      <c r="G68" s="76"/>
      <c r="H68" s="76">
        <f>I57+H59-I67</f>
        <v>-186998544.00800025</v>
      </c>
      <c r="I68" s="75"/>
      <c r="K68" s="74" t="s">
        <v>73</v>
      </c>
      <c r="M68" s="51">
        <f>N57+M59-N67</f>
        <v>2563563432.4000001</v>
      </c>
      <c r="N68" s="73"/>
      <c r="P68" s="74" t="s">
        <v>73</v>
      </c>
      <c r="R68" s="51">
        <f>S57+R59-S67</f>
        <v>3842077594.829442</v>
      </c>
      <c r="S68" s="73"/>
      <c r="U68" s="74" t="s">
        <v>73</v>
      </c>
      <c r="W68" s="51">
        <f>X57+W59-X67</f>
        <v>4379384538.3285828</v>
      </c>
      <c r="X68" s="73"/>
    </row>
    <row r="69" spans="1:24" x14ac:dyDescent="0.3">
      <c r="A69" s="80" t="s">
        <v>72</v>
      </c>
      <c r="B69" s="79"/>
      <c r="C69" s="79">
        <v>0</v>
      </c>
      <c r="D69" s="78"/>
      <c r="F69" s="77" t="s">
        <v>72</v>
      </c>
      <c r="G69" s="76"/>
      <c r="H69" s="76">
        <v>0</v>
      </c>
      <c r="I69" s="75"/>
      <c r="K69" s="74" t="s">
        <v>72</v>
      </c>
      <c r="M69" s="51">
        <f>D77</f>
        <v>475889286.48000002</v>
      </c>
      <c r="N69" s="73"/>
      <c r="P69" s="74" t="s">
        <v>72</v>
      </c>
      <c r="R69" s="51">
        <f>E77</f>
        <v>731592118.9658885</v>
      </c>
      <c r="S69" s="73"/>
      <c r="U69" s="74" t="s">
        <v>72</v>
      </c>
      <c r="W69" s="51">
        <f>F77</f>
        <v>839053507.66571665</v>
      </c>
      <c r="X69" s="73"/>
    </row>
    <row r="70" spans="1:24" x14ac:dyDescent="0.3">
      <c r="A70" s="72"/>
      <c r="B70" s="71" t="s">
        <v>71</v>
      </c>
      <c r="C70" s="70"/>
      <c r="D70" s="69">
        <f>C68-C69</f>
        <v>-700207559.02544022</v>
      </c>
      <c r="F70" s="68"/>
      <c r="G70" s="67" t="s">
        <v>71</v>
      </c>
      <c r="H70" s="66"/>
      <c r="I70" s="65">
        <f>H68-H69</f>
        <v>-186998544.00800025</v>
      </c>
      <c r="K70" s="64"/>
      <c r="L70" s="63" t="s">
        <v>71</v>
      </c>
      <c r="M70" s="62"/>
      <c r="N70" s="61">
        <f>M68-M69</f>
        <v>2087674145.9200001</v>
      </c>
      <c r="P70" s="64"/>
      <c r="Q70" s="63" t="s">
        <v>71</v>
      </c>
      <c r="R70" s="62"/>
      <c r="S70" s="61">
        <f>R68-R69</f>
        <v>3110485475.8635535</v>
      </c>
      <c r="U70" s="64"/>
      <c r="V70" s="63" t="s">
        <v>71</v>
      </c>
      <c r="W70" s="62"/>
      <c r="X70" s="61">
        <f>W68-W69</f>
        <v>3540331030.6628661</v>
      </c>
    </row>
    <row r="72" spans="1:24" x14ac:dyDescent="0.3">
      <c r="A72" s="60" t="s">
        <v>70</v>
      </c>
      <c r="B72" s="51">
        <v>2</v>
      </c>
      <c r="C72" s="51">
        <v>4</v>
      </c>
      <c r="D72" s="51">
        <v>6</v>
      </c>
      <c r="E72" s="51">
        <v>8</v>
      </c>
      <c r="F72" s="51">
        <v>10</v>
      </c>
    </row>
    <row r="73" spans="1:24" x14ac:dyDescent="0.3">
      <c r="A73" s="60" t="s">
        <v>69</v>
      </c>
      <c r="B73" s="51">
        <f>D57+C59</f>
        <v>121052062.67519978</v>
      </c>
      <c r="C73" s="51">
        <f>I57+H59</f>
        <v>727298228.63999975</v>
      </c>
      <c r="D73" s="51">
        <f>N57+M59</f>
        <v>4095332484</v>
      </c>
      <c r="E73" s="51">
        <f>S57+R59</f>
        <v>5646271185.0048018</v>
      </c>
      <c r="F73" s="51">
        <f>X57+W59</f>
        <v>6282263829.5129328</v>
      </c>
    </row>
    <row r="74" spans="1:24" x14ac:dyDescent="0.3">
      <c r="A74" s="60" t="s">
        <v>68</v>
      </c>
      <c r="B74" s="51">
        <f>D67</f>
        <v>821259621.70063996</v>
      </c>
      <c r="C74" s="51">
        <f>I67</f>
        <v>914296772.648</v>
      </c>
      <c r="D74" s="51">
        <f>N67</f>
        <v>1531769051.5999999</v>
      </c>
      <c r="E74" s="51">
        <f>S67</f>
        <v>1804193590.1753597</v>
      </c>
      <c r="F74" s="51">
        <f>X67</f>
        <v>1902879291.1843505</v>
      </c>
    </row>
    <row r="75" spans="1:24" x14ac:dyDescent="0.3">
      <c r="A75" s="60" t="s">
        <v>67</v>
      </c>
      <c r="B75" s="51">
        <f>C66</f>
        <v>84117000</v>
      </c>
      <c r="C75" s="51">
        <f>H66</f>
        <v>84117000</v>
      </c>
      <c r="D75" s="51">
        <f>M66</f>
        <v>84117000</v>
      </c>
      <c r="E75" s="51">
        <f>R66</f>
        <v>84117000</v>
      </c>
      <c r="F75" s="51">
        <f>W66</f>
        <v>84117000</v>
      </c>
    </row>
    <row r="76" spans="1:24" x14ac:dyDescent="0.3">
      <c r="A76" s="60" t="s">
        <v>66</v>
      </c>
      <c r="B76" s="51">
        <f>B73-B74-B75</f>
        <v>-784324559.02544022</v>
      </c>
      <c r="C76" s="51">
        <f>C73-C74-C75</f>
        <v>-271115544.00800025</v>
      </c>
      <c r="D76" s="51">
        <f>D73-D74-D75</f>
        <v>2479446432.4000001</v>
      </c>
      <c r="E76" s="51">
        <f>E73-E74-E75</f>
        <v>3757960594.829442</v>
      </c>
      <c r="F76" s="51">
        <f>F73-F74-F75</f>
        <v>4295267538.3285828</v>
      </c>
    </row>
    <row r="77" spans="1:24" x14ac:dyDescent="0.3">
      <c r="A77" s="60" t="s">
        <v>65</v>
      </c>
      <c r="B77" s="51">
        <v>0</v>
      </c>
      <c r="C77" s="51">
        <v>0</v>
      </c>
      <c r="D77" s="51">
        <f>D80+D82</f>
        <v>475889286.48000002</v>
      </c>
      <c r="E77" s="51">
        <f>E80+E82</f>
        <v>731592118.9658885</v>
      </c>
      <c r="F77" s="51">
        <f>F80+F82</f>
        <v>839053507.66571665</v>
      </c>
    </row>
    <row r="78" spans="1:24" x14ac:dyDescent="0.3">
      <c r="A78" s="60" t="s">
        <v>64</v>
      </c>
      <c r="B78" s="51">
        <f>B76-B77</f>
        <v>-784324559.02544022</v>
      </c>
      <c r="C78" s="51">
        <f>C76-C77</f>
        <v>-271115544.00800025</v>
      </c>
      <c r="D78" s="51">
        <f>D76-D77</f>
        <v>2003557145.9200001</v>
      </c>
      <c r="E78" s="51">
        <f>E76-E77</f>
        <v>3026368475.8635535</v>
      </c>
      <c r="F78" s="51">
        <f>F76-F77</f>
        <v>3456214030.6628661</v>
      </c>
      <c r="K78" s="51" t="s">
        <v>63</v>
      </c>
      <c r="L78" s="51" t="s">
        <v>62</v>
      </c>
    </row>
    <row r="79" spans="1:24" x14ac:dyDescent="0.3">
      <c r="J79" s="51" t="s">
        <v>61</v>
      </c>
      <c r="K79" s="51">
        <v>10889724382</v>
      </c>
      <c r="L79" s="51">
        <v>42784988000</v>
      </c>
    </row>
    <row r="80" spans="1:24" x14ac:dyDescent="0.3">
      <c r="D80" s="51">
        <v>20000000</v>
      </c>
      <c r="E80" s="51">
        <v>20000000</v>
      </c>
      <c r="F80" s="51">
        <v>20000000</v>
      </c>
      <c r="J80" s="51" t="s">
        <v>60</v>
      </c>
      <c r="K80" s="51">
        <v>5471534384</v>
      </c>
      <c r="L80" s="51">
        <v>45147671940</v>
      </c>
    </row>
    <row r="81" spans="1:12" x14ac:dyDescent="0.3">
      <c r="D81" s="51">
        <f>D76-200000000</f>
        <v>2279446432.4000001</v>
      </c>
      <c r="E81" s="51">
        <f>E76-200000000</f>
        <v>3557960594.829442</v>
      </c>
      <c r="F81" s="51">
        <f>F76-200000000</f>
        <v>4095267538.3285828</v>
      </c>
      <c r="J81" s="51" t="s">
        <v>59</v>
      </c>
      <c r="K81" s="59">
        <v>9770999830</v>
      </c>
      <c r="L81" s="51">
        <v>985947023</v>
      </c>
    </row>
    <row r="82" spans="1:12" x14ac:dyDescent="0.3">
      <c r="D82" s="51">
        <f>D81*20%</f>
        <v>455889286.48000002</v>
      </c>
      <c r="E82" s="51">
        <f>E81*20%</f>
        <v>711592118.9658885</v>
      </c>
      <c r="F82" s="51">
        <f>F81*20%</f>
        <v>819053507.66571665</v>
      </c>
      <c r="J82" s="51" t="s">
        <v>58</v>
      </c>
      <c r="K82" s="51">
        <f>K79-K80</f>
        <v>5418189998</v>
      </c>
      <c r="L82" s="51">
        <f>L79-L80</f>
        <v>-2362683940</v>
      </c>
    </row>
    <row r="87" spans="1:12" x14ac:dyDescent="0.3">
      <c r="A87" s="57" t="s">
        <v>57</v>
      </c>
      <c r="B87" s="58">
        <v>0</v>
      </c>
      <c r="C87" s="57">
        <v>1</v>
      </c>
      <c r="D87" s="58">
        <v>2</v>
      </c>
      <c r="E87" s="57">
        <v>3</v>
      </c>
      <c r="F87" s="58">
        <v>4</v>
      </c>
      <c r="G87" s="57">
        <v>5</v>
      </c>
      <c r="H87" s="58">
        <v>6</v>
      </c>
      <c r="I87" s="57">
        <v>7</v>
      </c>
      <c r="J87" s="58">
        <v>8</v>
      </c>
      <c r="K87" s="57">
        <v>9</v>
      </c>
      <c r="L87" s="58">
        <v>10</v>
      </c>
    </row>
    <row r="88" spans="1:12" x14ac:dyDescent="0.3">
      <c r="A88" s="57" t="s">
        <v>56</v>
      </c>
      <c r="B88" s="56"/>
      <c r="C88" s="56">
        <f>D88/2</f>
        <v>797736671.6688</v>
      </c>
      <c r="D88" s="56">
        <f>C50+C59</f>
        <v>1595473343.3376</v>
      </c>
      <c r="E88" s="56">
        <f>AVERAGE(D88,F88)</f>
        <v>5229607069.8288002</v>
      </c>
      <c r="F88" s="56">
        <f>H50+H59</f>
        <v>8863740796.3199997</v>
      </c>
      <c r="G88" s="56">
        <f>AVERAGE(F88,H88)</f>
        <v>29053372610.16</v>
      </c>
      <c r="H88" s="56">
        <f>M50+M59</f>
        <v>49243004424</v>
      </c>
      <c r="I88" s="56">
        <f>AVERAGE(H88,J88)</f>
        <v>58540083659.25119</v>
      </c>
      <c r="J88" s="56">
        <f>R50+R59</f>
        <v>67837162894.502388</v>
      </c>
      <c r="K88" s="56">
        <f>AVERAGE(J88,L88)</f>
        <v>71649611449.173431</v>
      </c>
      <c r="L88" s="56">
        <f>W50+W59</f>
        <v>75462060003.844467</v>
      </c>
    </row>
    <row r="89" spans="1:12" x14ac:dyDescent="0.3">
      <c r="A89" s="57" t="s">
        <v>55</v>
      </c>
      <c r="B89" s="56">
        <f>I17</f>
        <v>2091170000</v>
      </c>
      <c r="C89" s="56">
        <f>AVERAGE(B89,D89)</f>
        <v>2193425451.18152</v>
      </c>
      <c r="D89" s="56">
        <f>D56+D67</f>
        <v>2295680902.36304</v>
      </c>
      <c r="E89" s="56">
        <f>AVERAGE(D89,F89)</f>
        <v>5673210121.34552</v>
      </c>
      <c r="F89" s="56">
        <f>I56+I67+H69</f>
        <v>9050739340.328001</v>
      </c>
      <c r="G89" s="56">
        <f>AVERAGE(F89,H89)</f>
        <v>28103034809.204002</v>
      </c>
      <c r="H89" s="56">
        <f>N56+N67+M69</f>
        <v>47155330278.080002</v>
      </c>
      <c r="I89" s="56">
        <f>AVERAGE(H89,J89)</f>
        <v>55941003848.359421</v>
      </c>
      <c r="J89" s="56">
        <f>S56+S67+R69</f>
        <v>64726677418.63884</v>
      </c>
      <c r="K89" s="56">
        <f>AVERAGE(J89,L89)</f>
        <v>68324203195.910217</v>
      </c>
      <c r="L89" s="56">
        <f>X56+X67+W69</f>
        <v>71921728973.181595</v>
      </c>
    </row>
    <row r="90" spans="1:12" x14ac:dyDescent="0.3">
      <c r="A90" s="57" t="s">
        <v>54</v>
      </c>
      <c r="B90" s="56">
        <f t="shared" ref="B90:L90" si="12">B88-B89</f>
        <v>-2091170000</v>
      </c>
      <c r="C90" s="56">
        <f t="shared" si="12"/>
        <v>-1395688779.5127201</v>
      </c>
      <c r="D90" s="56">
        <f t="shared" si="12"/>
        <v>-700207559.02543998</v>
      </c>
      <c r="E90" s="56">
        <f t="shared" si="12"/>
        <v>-443603051.51671982</v>
      </c>
      <c r="F90" s="56">
        <f t="shared" si="12"/>
        <v>-186998544.00800133</v>
      </c>
      <c r="G90" s="56">
        <f t="shared" si="12"/>
        <v>950337800.95599747</v>
      </c>
      <c r="H90" s="56">
        <f t="shared" si="12"/>
        <v>2087674145.9199982</v>
      </c>
      <c r="I90" s="56">
        <f t="shared" si="12"/>
        <v>2599079810.8917694</v>
      </c>
      <c r="J90" s="56">
        <f t="shared" si="12"/>
        <v>3110485475.8635483</v>
      </c>
      <c r="K90" s="56">
        <f t="shared" si="12"/>
        <v>3325408253.2632141</v>
      </c>
      <c r="L90" s="56">
        <f t="shared" si="12"/>
        <v>3540331030.6628723</v>
      </c>
    </row>
    <row r="91" spans="1:12" x14ac:dyDescent="0.3">
      <c r="A91" s="51" t="s">
        <v>53</v>
      </c>
      <c r="B91" s="55">
        <f>L14</f>
        <v>5.28E-2</v>
      </c>
    </row>
    <row r="92" spans="1:12" x14ac:dyDescent="0.3">
      <c r="A92" s="51" t="s">
        <v>52</v>
      </c>
      <c r="B92" s="55">
        <v>5.7000000000000002E-2</v>
      </c>
    </row>
    <row r="93" spans="1:12" x14ac:dyDescent="0.3">
      <c r="A93" s="51" t="s">
        <v>51</v>
      </c>
      <c r="B93" s="55">
        <f>B91+B92+B91*B92</f>
        <v>0.11280960000000001</v>
      </c>
    </row>
    <row r="94" spans="1:12" x14ac:dyDescent="0.3">
      <c r="A94" s="51" t="s">
        <v>50</v>
      </c>
      <c r="B94" s="54">
        <f>NPV(B93,C90:L90)+B90</f>
        <v>2340664649.6110983</v>
      </c>
    </row>
    <row r="95" spans="1:12" x14ac:dyDescent="0.3">
      <c r="A95" s="51" t="s">
        <v>49</v>
      </c>
      <c r="B95" s="53">
        <f>IRR(B90:L90)</f>
        <v>0.18474396433292539</v>
      </c>
    </row>
    <row r="96" spans="1:12" x14ac:dyDescent="0.3">
      <c r="A96" s="51" t="s">
        <v>48</v>
      </c>
      <c r="B96" s="52">
        <f>B94/B89</f>
        <v>1.11930864043148</v>
      </c>
    </row>
  </sheetData>
  <mergeCells count="15">
    <mergeCell ref="V47:W47"/>
    <mergeCell ref="V48:W48"/>
    <mergeCell ref="V49:W49"/>
    <mergeCell ref="L47:M47"/>
    <mergeCell ref="L48:M48"/>
    <mergeCell ref="L49:M49"/>
    <mergeCell ref="Q47:R47"/>
    <mergeCell ref="Q48:R48"/>
    <mergeCell ref="Q49:R49"/>
    <mergeCell ref="B47:C47"/>
    <mergeCell ref="B48:C48"/>
    <mergeCell ref="B49:C49"/>
    <mergeCell ref="G47:H47"/>
    <mergeCell ref="G48:H48"/>
    <mergeCell ref="G49:H4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1220-E03E-4176-90CA-9526D798BE3E}">
  <dimension ref="A2:E19"/>
  <sheetViews>
    <sheetView zoomScale="105" zoomScaleNormal="70" workbookViewId="0">
      <selection activeCell="D19" sqref="D19"/>
    </sheetView>
  </sheetViews>
  <sheetFormatPr defaultRowHeight="16.5" x14ac:dyDescent="0.3"/>
  <cols>
    <col min="1" max="1" width="23.125" bestFit="1" customWidth="1"/>
    <col min="2" max="2" width="21.875" style="120" bestFit="1" customWidth="1"/>
    <col min="3" max="3" width="20.75" style="119" bestFit="1" customWidth="1"/>
    <col min="5" max="5" width="16.75" bestFit="1" customWidth="1"/>
  </cols>
  <sheetData>
    <row r="2" spans="1:5" x14ac:dyDescent="0.3">
      <c r="A2" t="s">
        <v>174</v>
      </c>
      <c r="B2" s="132" t="s">
        <v>173</v>
      </c>
      <c r="C2" s="131" t="s">
        <v>172</v>
      </c>
    </row>
    <row r="3" spans="1:5" x14ac:dyDescent="0.3">
      <c r="A3" s="128" t="s">
        <v>171</v>
      </c>
      <c r="B3" s="121">
        <f>('Financial Statement'!H50+'Financial Statement'!M50)/2</f>
        <v>25985588300</v>
      </c>
      <c r="C3" s="119">
        <v>2109125086149</v>
      </c>
      <c r="E3" s="121"/>
    </row>
    <row r="4" spans="1:5" x14ac:dyDescent="0.3">
      <c r="A4" s="128" t="s">
        <v>170</v>
      </c>
      <c r="B4" s="121">
        <f>('Financial Statement'!I56+'Financial Statement'!N56)/2</f>
        <v>26642057253.84</v>
      </c>
      <c r="C4" s="119">
        <v>1125634518637</v>
      </c>
      <c r="E4" s="121"/>
    </row>
    <row r="5" spans="1:5" x14ac:dyDescent="0.3">
      <c r="A5" s="128" t="s">
        <v>169</v>
      </c>
      <c r="B5" s="121">
        <f>B3-B4</f>
        <v>-656468953.84000015</v>
      </c>
      <c r="C5" s="119">
        <v>983490567512</v>
      </c>
      <c r="E5" s="121"/>
    </row>
    <row r="6" spans="1:5" x14ac:dyDescent="0.3">
      <c r="A6" s="128" t="s">
        <v>168</v>
      </c>
      <c r="B6" s="121">
        <f>(SUM('Financial Statement'!H62:H66)+SUM('Financial Statement'!M62:M66))/2</f>
        <v>1156784646.5239999</v>
      </c>
      <c r="C6" s="119">
        <v>844462709210</v>
      </c>
      <c r="E6" s="121"/>
    </row>
    <row r="7" spans="1:5" x14ac:dyDescent="0.3">
      <c r="A7" s="128" t="s">
        <v>167</v>
      </c>
      <c r="B7" s="121">
        <f>B5-B6</f>
        <v>-1813253600.3640001</v>
      </c>
      <c r="C7" s="119">
        <f>C3-C6-C4</f>
        <v>139027858302</v>
      </c>
      <c r="E7" s="121"/>
    </row>
    <row r="8" spans="1:5" x14ac:dyDescent="0.3">
      <c r="A8" s="128" t="s">
        <v>166</v>
      </c>
      <c r="B8" s="121">
        <f>('Financial Statement'!H59+'Financial Statement'!M59)/2</f>
        <v>3067784310.1599998</v>
      </c>
      <c r="C8" s="130">
        <f>5419818434+8166749811</f>
        <v>13586568245</v>
      </c>
      <c r="E8" s="121"/>
    </row>
    <row r="9" spans="1:5" x14ac:dyDescent="0.3">
      <c r="A9" s="128" t="s">
        <v>165</v>
      </c>
      <c r="B9" s="121">
        <f>('Financial Statement'!H61+'Financial Statement'!M61)/2</f>
        <v>66248265.600000001</v>
      </c>
      <c r="C9" s="130">
        <f>9957731554+14461378502</f>
        <v>24419110056</v>
      </c>
      <c r="E9" s="121"/>
    </row>
    <row r="10" spans="1:5" x14ac:dyDescent="0.3">
      <c r="A10" s="128" t="s">
        <v>164</v>
      </c>
      <c r="B10" s="121">
        <f>B7+B8-B9</f>
        <v>1188282444.1959999</v>
      </c>
      <c r="C10" s="129">
        <v>128195316491</v>
      </c>
      <c r="E10" s="121"/>
    </row>
    <row r="11" spans="1:5" x14ac:dyDescent="0.3">
      <c r="A11" s="128" t="s">
        <v>163</v>
      </c>
      <c r="B11" s="121">
        <f>B10*10%</f>
        <v>118828244.4196</v>
      </c>
      <c r="C11" s="119">
        <v>32317729613</v>
      </c>
      <c r="E11" s="121"/>
    </row>
    <row r="12" spans="1:5" x14ac:dyDescent="0.3">
      <c r="A12" s="128" t="s">
        <v>162</v>
      </c>
      <c r="B12" s="121">
        <f>B10-B11</f>
        <v>1069454199.7763999</v>
      </c>
      <c r="C12" s="119">
        <v>95877586878</v>
      </c>
      <c r="E12" s="121"/>
    </row>
    <row r="13" spans="1:5" x14ac:dyDescent="0.3">
      <c r="E13" s="120"/>
    </row>
    <row r="14" spans="1:5" x14ac:dyDescent="0.3">
      <c r="A14" s="125" t="s">
        <v>161</v>
      </c>
      <c r="B14" s="124">
        <f>B12/B3</f>
        <v>4.1155666265073547E-2</v>
      </c>
      <c r="C14" s="127">
        <f>C12/C3</f>
        <v>4.5458464036886755E-2</v>
      </c>
      <c r="E14" s="126"/>
    </row>
    <row r="15" spans="1:5" x14ac:dyDescent="0.3">
      <c r="A15" s="125" t="s">
        <v>160</v>
      </c>
      <c r="B15" s="124">
        <f>(B4+B6+B9)/B3</f>
        <v>1.0723286247848387</v>
      </c>
      <c r="C15" s="123">
        <f>(C4+C6+C9)/C3</f>
        <v>0.9456605257797861</v>
      </c>
      <c r="E15" s="122"/>
    </row>
    <row r="16" spans="1:5" x14ac:dyDescent="0.3">
      <c r="E16" s="121"/>
    </row>
    <row r="18" spans="1:1" x14ac:dyDescent="0.3">
      <c r="A18" s="120"/>
    </row>
    <row r="19" spans="1:1" x14ac:dyDescent="0.3">
      <c r="A19" s="12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C4DE-64CB-4E38-B31C-041980B60AD4}">
  <dimension ref="A2:N119"/>
  <sheetViews>
    <sheetView showGridLines="0" tabSelected="1" zoomScale="66" zoomScaleNormal="40" workbookViewId="0">
      <selection activeCell="F22" sqref="F22"/>
    </sheetView>
  </sheetViews>
  <sheetFormatPr defaultRowHeight="16.5" x14ac:dyDescent="0.3"/>
  <cols>
    <col min="2" max="3" width="26" bestFit="1" customWidth="1"/>
    <col min="4" max="4" width="23.125" style="2" bestFit="1" customWidth="1"/>
    <col min="5" max="5" width="15.375" bestFit="1" customWidth="1"/>
    <col min="6" max="6" width="24" bestFit="1" customWidth="1"/>
    <col min="7" max="7" width="21.5" style="2" bestFit="1" customWidth="1"/>
    <col min="8" max="9" width="26" bestFit="1" customWidth="1"/>
    <col min="10" max="10" width="25.375" bestFit="1" customWidth="1"/>
    <col min="11" max="11" width="15.375" bestFit="1" customWidth="1"/>
    <col min="12" max="12" width="20.625" bestFit="1" customWidth="1"/>
    <col min="13" max="13" width="21.125" style="1" customWidth="1"/>
    <col min="14" max="14" width="19.625" customWidth="1"/>
  </cols>
  <sheetData>
    <row r="2" spans="2:13" x14ac:dyDescent="0.3">
      <c r="B2" s="9" t="s">
        <v>36</v>
      </c>
      <c r="C2" s="2"/>
      <c r="E2" s="2"/>
      <c r="F2" s="2"/>
      <c r="H2" s="2"/>
      <c r="I2" s="2"/>
      <c r="J2" s="2"/>
      <c r="K2" s="2"/>
      <c r="L2" s="2"/>
    </row>
    <row r="3" spans="2:13" ht="17.25" thickBot="1" x14ac:dyDescent="0.35">
      <c r="B3" s="2"/>
      <c r="C3" s="2"/>
      <c r="E3" s="2"/>
      <c r="F3" s="2"/>
      <c r="H3" s="2"/>
      <c r="I3" s="2"/>
      <c r="J3" s="2"/>
      <c r="K3" s="2"/>
      <c r="L3" s="2"/>
    </row>
    <row r="4" spans="2:13" x14ac:dyDescent="0.3">
      <c r="B4" s="22" t="s">
        <v>17</v>
      </c>
      <c r="C4" s="26" t="s">
        <v>18</v>
      </c>
      <c r="D4" s="26" t="s">
        <v>35</v>
      </c>
      <c r="E4" s="25" t="s">
        <v>34</v>
      </c>
      <c r="F4" s="32"/>
      <c r="G4" s="32"/>
      <c r="H4" s="47" t="s">
        <v>16</v>
      </c>
      <c r="I4" s="26" t="s">
        <v>18</v>
      </c>
      <c r="J4" s="26" t="s">
        <v>35</v>
      </c>
      <c r="K4" s="26" t="s">
        <v>34</v>
      </c>
      <c r="L4" s="25" t="s">
        <v>12</v>
      </c>
    </row>
    <row r="5" spans="2:13" x14ac:dyDescent="0.3">
      <c r="B5" s="6" t="s">
        <v>18</v>
      </c>
      <c r="C5" s="2">
        <v>1</v>
      </c>
      <c r="D5" s="2">
        <f>1/C6</f>
        <v>3</v>
      </c>
      <c r="E5" s="12">
        <f>1/C7</f>
        <v>5</v>
      </c>
      <c r="F5" s="2"/>
      <c r="H5" s="6" t="s">
        <v>18</v>
      </c>
      <c r="I5" s="2">
        <f>C5/$C$8</f>
        <v>0.65217391304347827</v>
      </c>
      <c r="J5" s="2">
        <f>D5/$D$8</f>
        <v>0.6923076923076924</v>
      </c>
      <c r="K5" s="2">
        <f>E5/$E$8</f>
        <v>0.55555555555555558</v>
      </c>
      <c r="L5" s="12">
        <f>SUM(I5:K5)/3</f>
        <v>0.63334572030224201</v>
      </c>
      <c r="M5" s="33"/>
    </row>
    <row r="6" spans="2:13" x14ac:dyDescent="0.3">
      <c r="B6" s="6" t="s">
        <v>35</v>
      </c>
      <c r="C6" s="2">
        <f>1/3</f>
        <v>0.33333333333333331</v>
      </c>
      <c r="D6" s="2">
        <v>1</v>
      </c>
      <c r="E6" s="12">
        <v>3</v>
      </c>
      <c r="F6" s="2"/>
      <c r="H6" s="6" t="s">
        <v>35</v>
      </c>
      <c r="I6" s="2">
        <f>C6/$C$8</f>
        <v>0.21739130434782608</v>
      </c>
      <c r="J6" s="2">
        <f>D6/$D$8</f>
        <v>0.23076923076923078</v>
      </c>
      <c r="K6" s="2">
        <f>E6/$E$8</f>
        <v>0.33333333333333331</v>
      </c>
      <c r="L6" s="12">
        <f>SUM(I6:K6)/3</f>
        <v>0.26049795615013011</v>
      </c>
      <c r="M6" s="33"/>
    </row>
    <row r="7" spans="2:13" x14ac:dyDescent="0.3">
      <c r="B7" s="6" t="s">
        <v>34</v>
      </c>
      <c r="C7" s="2">
        <f>1/5</f>
        <v>0.2</v>
      </c>
      <c r="D7" s="2">
        <f>1/E6</f>
        <v>0.33333333333333331</v>
      </c>
      <c r="E7" s="12">
        <v>1</v>
      </c>
      <c r="F7" s="2"/>
      <c r="H7" s="6" t="s">
        <v>34</v>
      </c>
      <c r="I7" s="2">
        <f>C7/$C$8</f>
        <v>0.13043478260869568</v>
      </c>
      <c r="J7" s="2">
        <f>D7/$D$8</f>
        <v>7.6923076923076927E-2</v>
      </c>
      <c r="K7" s="2">
        <f>E7/$E$8</f>
        <v>0.1111111111111111</v>
      </c>
      <c r="L7" s="12">
        <f>SUM(I7:K7)/3</f>
        <v>0.1061563235476279</v>
      </c>
      <c r="M7" s="33"/>
    </row>
    <row r="8" spans="2:13" ht="17.25" thickBot="1" x14ac:dyDescent="0.35">
      <c r="B8" s="4" t="s">
        <v>11</v>
      </c>
      <c r="C8" s="11">
        <f>SUM(C5:C7)</f>
        <v>1.5333333333333332</v>
      </c>
      <c r="D8" s="11">
        <f>SUM(D5:D7)</f>
        <v>4.333333333333333</v>
      </c>
      <c r="E8" s="10">
        <f>SUM(E5:E7)</f>
        <v>9</v>
      </c>
      <c r="F8" s="2"/>
      <c r="H8" s="4" t="s">
        <v>11</v>
      </c>
      <c r="I8" s="11">
        <f>SUM(I5:I7)</f>
        <v>1</v>
      </c>
      <c r="J8" s="11">
        <f>SUM(J5:J7)</f>
        <v>1</v>
      </c>
      <c r="K8" s="11">
        <f>SUM(K5:K7)</f>
        <v>1</v>
      </c>
      <c r="L8" s="10">
        <f>SUM(L5:L7)</f>
        <v>1</v>
      </c>
    </row>
    <row r="9" spans="2:13" x14ac:dyDescent="0.3">
      <c r="B9" s="24"/>
      <c r="C9" s="2"/>
      <c r="E9" s="2"/>
      <c r="F9" s="2"/>
      <c r="H9" s="2"/>
      <c r="I9" s="2"/>
      <c r="J9" s="2"/>
      <c r="K9" s="2"/>
      <c r="L9" s="2"/>
    </row>
    <row r="10" spans="2:13" ht="17.25" thickBot="1" x14ac:dyDescent="0.35">
      <c r="B10" s="24"/>
      <c r="C10" s="2"/>
      <c r="E10" s="2"/>
      <c r="F10" s="2"/>
      <c r="H10" s="2"/>
      <c r="I10" s="2"/>
      <c r="J10" s="2"/>
      <c r="K10" s="2"/>
      <c r="L10" s="2"/>
    </row>
    <row r="11" spans="2:13" x14ac:dyDescent="0.3">
      <c r="B11" s="22" t="s">
        <v>30</v>
      </c>
      <c r="C11" s="26" t="s">
        <v>18</v>
      </c>
      <c r="D11" s="26" t="s">
        <v>35</v>
      </c>
      <c r="E11" s="26" t="s">
        <v>34</v>
      </c>
      <c r="F11" s="25" t="s">
        <v>25</v>
      </c>
      <c r="G11" s="32"/>
      <c r="H11" s="47" t="s">
        <v>24</v>
      </c>
      <c r="I11" s="25" t="s">
        <v>23</v>
      </c>
      <c r="J11" s="32"/>
      <c r="K11" s="31" t="s">
        <v>22</v>
      </c>
      <c r="L11" s="13">
        <f>(I15-3)/(3-1)</f>
        <v>1.9357340479733365E-2</v>
      </c>
    </row>
    <row r="12" spans="2:13" x14ac:dyDescent="0.3">
      <c r="B12" s="6" t="s">
        <v>18</v>
      </c>
      <c r="C12" s="2">
        <f>C5*$L$5</f>
        <v>0.63334572030224201</v>
      </c>
      <c r="D12" s="2">
        <f>D5*$L$6</f>
        <v>0.78149386845039026</v>
      </c>
      <c r="E12" s="2">
        <f>E5*$L$7</f>
        <v>0.53078161773813948</v>
      </c>
      <c r="F12" s="12">
        <f>SUM(C12:E12)</f>
        <v>1.9456212064907716</v>
      </c>
      <c r="H12" s="46" t="s">
        <v>18</v>
      </c>
      <c r="I12" s="12">
        <f>F12/L5</f>
        <v>3.0719734011343633</v>
      </c>
      <c r="J12" s="2"/>
      <c r="K12" s="6" t="s">
        <v>21</v>
      </c>
      <c r="L12" s="12">
        <f>L11/L13</f>
        <v>3.3374724965057528E-2</v>
      </c>
    </row>
    <row r="13" spans="2:13" ht="17.25" thickBot="1" x14ac:dyDescent="0.35">
      <c r="B13" s="6" t="s">
        <v>35</v>
      </c>
      <c r="C13" s="2">
        <f>C6*$L$5</f>
        <v>0.21111524010074734</v>
      </c>
      <c r="D13" s="2">
        <f>D6*$L$6</f>
        <v>0.26049795615013011</v>
      </c>
      <c r="E13" s="2">
        <f>E6*$L$7</f>
        <v>0.31846897064288371</v>
      </c>
      <c r="F13" s="12">
        <f>SUM(C13:E13)</f>
        <v>0.79008216689376121</v>
      </c>
      <c r="H13" s="46" t="s">
        <v>35</v>
      </c>
      <c r="I13" s="12">
        <f>F13/L6</f>
        <v>3.0329687747662071</v>
      </c>
      <c r="J13" s="2"/>
      <c r="K13" s="4" t="s">
        <v>20</v>
      </c>
      <c r="L13" s="10">
        <v>0.57999999999999996</v>
      </c>
    </row>
    <row r="14" spans="2:13" ht="17.25" thickBot="1" x14ac:dyDescent="0.35">
      <c r="B14" s="4" t="s">
        <v>34</v>
      </c>
      <c r="C14" s="11">
        <f>C7*$L$5</f>
        <v>0.12666914406044841</v>
      </c>
      <c r="D14" s="11">
        <f>D7*$L$6</f>
        <v>8.6832652050043369E-2</v>
      </c>
      <c r="E14" s="11">
        <f>E7*$L$7</f>
        <v>0.1061563235476279</v>
      </c>
      <c r="F14" s="10">
        <f>SUM(C14:E14)</f>
        <v>0.31965811965811969</v>
      </c>
      <c r="H14" s="46" t="s">
        <v>34</v>
      </c>
      <c r="I14" s="12">
        <f>F14/L7</f>
        <v>3.0112018669778298</v>
      </c>
      <c r="J14" s="2"/>
      <c r="K14" s="2"/>
      <c r="L14" s="2"/>
    </row>
    <row r="15" spans="2:13" ht="17.25" thickBot="1" x14ac:dyDescent="0.35">
      <c r="H15" s="45" t="s">
        <v>19</v>
      </c>
      <c r="I15" s="10">
        <f>AVERAGE(I12:I14)</f>
        <v>3.0387146809594667</v>
      </c>
    </row>
    <row r="17" spans="2:13" ht="17.25" thickBot="1" x14ac:dyDescent="0.35"/>
    <row r="18" spans="2:13" ht="17.25" thickBot="1" x14ac:dyDescent="0.35">
      <c r="B18" s="44" t="s">
        <v>33</v>
      </c>
      <c r="C18" s="40"/>
      <c r="F18" s="18"/>
      <c r="G18" s="19"/>
    </row>
    <row r="19" spans="2:13" ht="18" thickTop="1" thickBot="1" x14ac:dyDescent="0.35">
      <c r="B19" s="24"/>
      <c r="D19" s="38"/>
      <c r="E19" s="29"/>
      <c r="H19" s="29"/>
      <c r="I19" s="29"/>
      <c r="J19" s="29"/>
      <c r="K19" s="29"/>
      <c r="L19" s="29"/>
      <c r="M19" s="28"/>
    </row>
    <row r="20" spans="2:13" ht="17.25" thickBot="1" x14ac:dyDescent="0.35">
      <c r="B20" s="137" t="s">
        <v>178</v>
      </c>
      <c r="C20" s="43" t="s">
        <v>6</v>
      </c>
      <c r="D20" s="12">
        <v>1.119</v>
      </c>
    </row>
    <row r="21" spans="2:13" x14ac:dyDescent="0.3">
      <c r="B21" s="137"/>
      <c r="C21" s="42" t="s">
        <v>32</v>
      </c>
      <c r="D21" s="12">
        <f>5.11532*LN(D20)+1</f>
        <v>1.575143200359252</v>
      </c>
    </row>
    <row r="22" spans="2:13" x14ac:dyDescent="0.3">
      <c r="B22" s="138" t="s">
        <v>179</v>
      </c>
      <c r="C22" s="42" t="s">
        <v>6</v>
      </c>
      <c r="D22" s="12">
        <v>1</v>
      </c>
    </row>
    <row r="23" spans="2:13" ht="17.25" thickBot="1" x14ac:dyDescent="0.35">
      <c r="B23" s="139"/>
      <c r="C23" s="41" t="s">
        <v>32</v>
      </c>
      <c r="D23" s="10">
        <v>1</v>
      </c>
    </row>
    <row r="24" spans="2:13" x14ac:dyDescent="0.3">
      <c r="B24" s="2"/>
      <c r="C24" s="2"/>
    </row>
    <row r="25" spans="2:13" ht="17.25" thickBot="1" x14ac:dyDescent="0.35">
      <c r="B25" s="2"/>
      <c r="C25" s="2"/>
    </row>
    <row r="26" spans="2:13" ht="17.25" thickBot="1" x14ac:dyDescent="0.35">
      <c r="B26" s="23" t="s">
        <v>31</v>
      </c>
      <c r="C26" s="40"/>
      <c r="E26" s="18"/>
      <c r="F26" s="18"/>
    </row>
    <row r="27" spans="2:13" ht="18" thickTop="1" thickBot="1" x14ac:dyDescent="0.35">
      <c r="B27" s="39"/>
      <c r="D27" s="38"/>
      <c r="G27" s="30"/>
      <c r="H27" s="37"/>
      <c r="I27" s="37"/>
      <c r="J27" s="37"/>
      <c r="K27" s="37"/>
      <c r="L27" s="37"/>
      <c r="M27" s="28"/>
    </row>
    <row r="28" spans="2:13" x14ac:dyDescent="0.3">
      <c r="B28" s="22" t="s">
        <v>17</v>
      </c>
      <c r="C28" s="15" t="s">
        <v>5</v>
      </c>
      <c r="D28" s="15" t="s">
        <v>29</v>
      </c>
      <c r="E28" s="14" t="s">
        <v>3</v>
      </c>
      <c r="F28" s="2"/>
      <c r="H28" s="22" t="s">
        <v>16</v>
      </c>
      <c r="I28" s="15" t="s">
        <v>5</v>
      </c>
      <c r="J28" s="15" t="s">
        <v>29</v>
      </c>
      <c r="K28" s="15" t="s">
        <v>3</v>
      </c>
      <c r="L28" s="14" t="s">
        <v>12</v>
      </c>
    </row>
    <row r="29" spans="2:13" x14ac:dyDescent="0.3">
      <c r="B29" s="6" t="s">
        <v>5</v>
      </c>
      <c r="C29" s="2">
        <v>1</v>
      </c>
      <c r="D29" s="2">
        <f>1/C30</f>
        <v>0.16666666666666666</v>
      </c>
      <c r="E29" s="12">
        <f>1/C31</f>
        <v>0.25</v>
      </c>
      <c r="F29" s="2"/>
      <c r="H29" s="6" t="s">
        <v>5</v>
      </c>
      <c r="I29" s="2">
        <f>C29/C32</f>
        <v>9.0909090909090912E-2</v>
      </c>
      <c r="J29" s="2">
        <f>D29/D32</f>
        <v>9.9999999999999992E-2</v>
      </c>
      <c r="K29" s="2">
        <f>E29/E32</f>
        <v>7.6923076923076927E-2</v>
      </c>
      <c r="L29" s="12">
        <f>SUM(I29:K29)/3</f>
        <v>8.9277389277389277E-2</v>
      </c>
      <c r="M29" s="33"/>
    </row>
    <row r="30" spans="2:13" x14ac:dyDescent="0.3">
      <c r="B30" s="6" t="s">
        <v>29</v>
      </c>
      <c r="C30" s="2">
        <v>6</v>
      </c>
      <c r="D30" s="2">
        <v>1</v>
      </c>
      <c r="E30" s="12">
        <f>1/D31</f>
        <v>2</v>
      </c>
      <c r="F30" s="2"/>
      <c r="H30" s="6" t="s">
        <v>29</v>
      </c>
      <c r="I30" s="2">
        <f>C30/C32</f>
        <v>0.54545454545454541</v>
      </c>
      <c r="J30" s="2">
        <f>D30/D32</f>
        <v>0.6</v>
      </c>
      <c r="K30" s="2">
        <f>E30/E32</f>
        <v>0.61538461538461542</v>
      </c>
      <c r="L30" s="12">
        <f>SUM(I30:K30)/3</f>
        <v>0.58694638694638701</v>
      </c>
      <c r="M30" s="33"/>
    </row>
    <row r="31" spans="2:13" x14ac:dyDescent="0.3">
      <c r="B31" s="6" t="s">
        <v>3</v>
      </c>
      <c r="C31" s="2">
        <v>4</v>
      </c>
      <c r="D31" s="2">
        <v>0.5</v>
      </c>
      <c r="E31" s="12">
        <v>1</v>
      </c>
      <c r="F31" s="2"/>
      <c r="H31" s="6" t="s">
        <v>3</v>
      </c>
      <c r="I31" s="2">
        <f>C31/C32</f>
        <v>0.36363636363636365</v>
      </c>
      <c r="J31" s="2">
        <f>D31/D32</f>
        <v>0.3</v>
      </c>
      <c r="K31" s="2">
        <f>E31/E32</f>
        <v>0.30769230769230771</v>
      </c>
      <c r="L31" s="12">
        <f>SUM(I31:K31)/3</f>
        <v>0.32377622377622378</v>
      </c>
      <c r="M31" s="33"/>
    </row>
    <row r="32" spans="2:13" ht="17.25" thickBot="1" x14ac:dyDescent="0.35">
      <c r="B32" s="4" t="s">
        <v>11</v>
      </c>
      <c r="C32" s="11">
        <f>SUM(C29:C31)</f>
        <v>11</v>
      </c>
      <c r="D32" s="11">
        <f>SUM(D29:D31)</f>
        <v>1.6666666666666667</v>
      </c>
      <c r="E32" s="10">
        <f>SUM(E29:E31)</f>
        <v>3.25</v>
      </c>
      <c r="F32" s="2"/>
      <c r="H32" s="4" t="s">
        <v>11</v>
      </c>
      <c r="I32" s="11">
        <f>SUM(I29:I31)</f>
        <v>1</v>
      </c>
      <c r="J32" s="11">
        <f>SUM(J29:J31)</f>
        <v>1</v>
      </c>
      <c r="K32" s="11">
        <f>SUM(K29:K31)</f>
        <v>1</v>
      </c>
      <c r="L32" s="10">
        <f>SUM(L29:L31)</f>
        <v>1</v>
      </c>
    </row>
    <row r="33" spans="2:13" ht="17.25" thickBot="1" x14ac:dyDescent="0.35">
      <c r="B33" s="2"/>
      <c r="C33" s="2"/>
      <c r="E33" s="2"/>
      <c r="F33" s="2"/>
      <c r="H33" s="2"/>
      <c r="I33" s="2"/>
      <c r="J33" s="2"/>
      <c r="K33" s="2"/>
      <c r="L33" s="2"/>
    </row>
    <row r="34" spans="2:13" x14ac:dyDescent="0.3">
      <c r="B34" s="22" t="s">
        <v>30</v>
      </c>
      <c r="C34" s="15" t="s">
        <v>5</v>
      </c>
      <c r="D34" s="15" t="s">
        <v>29</v>
      </c>
      <c r="E34" s="15" t="s">
        <v>3</v>
      </c>
      <c r="F34" s="14" t="s">
        <v>25</v>
      </c>
      <c r="H34" s="22" t="s">
        <v>24</v>
      </c>
      <c r="I34" s="14" t="s">
        <v>23</v>
      </c>
      <c r="J34" s="2"/>
      <c r="K34" s="8" t="s">
        <v>22</v>
      </c>
      <c r="L34" s="13">
        <f>(I38-3)/(3-1)</f>
        <v>4.6063767205462014E-3</v>
      </c>
    </row>
    <row r="35" spans="2:13" x14ac:dyDescent="0.3">
      <c r="B35" s="6" t="s">
        <v>5</v>
      </c>
      <c r="C35" s="2">
        <f>C29*$L$29</f>
        <v>8.9277389277389277E-2</v>
      </c>
      <c r="D35" s="2">
        <f>D29*$L$30</f>
        <v>9.7824397824397835E-2</v>
      </c>
      <c r="E35" s="2">
        <f>E29*$L$31</f>
        <v>8.0944055944055945E-2</v>
      </c>
      <c r="F35" s="12">
        <f>SUM(C35:E35)</f>
        <v>0.26804584304584306</v>
      </c>
      <c r="H35" s="6" t="s">
        <v>5</v>
      </c>
      <c r="I35" s="12">
        <f>F35/L29</f>
        <v>3.0023933855526548</v>
      </c>
      <c r="J35" s="2"/>
      <c r="K35" s="6" t="s">
        <v>21</v>
      </c>
      <c r="L35" s="12">
        <f>L34/L36</f>
        <v>7.942028828527934E-3</v>
      </c>
    </row>
    <row r="36" spans="2:13" ht="17.25" thickBot="1" x14ac:dyDescent="0.35">
      <c r="B36" s="6" t="s">
        <v>29</v>
      </c>
      <c r="C36" s="2">
        <f>C30*$L$29</f>
        <v>0.53566433566433569</v>
      </c>
      <c r="D36" s="2">
        <f>D30*$L$30</f>
        <v>0.58694638694638701</v>
      </c>
      <c r="E36" s="2">
        <f>E30*$L$31</f>
        <v>0.64755244755244756</v>
      </c>
      <c r="F36" s="12">
        <f>SUM(C36:E36)</f>
        <v>1.7701631701631704</v>
      </c>
      <c r="H36" s="6" t="s">
        <v>29</v>
      </c>
      <c r="I36" s="12">
        <f>F36/L30</f>
        <v>3.015885623510723</v>
      </c>
      <c r="J36" s="2"/>
      <c r="K36" s="4" t="s">
        <v>20</v>
      </c>
      <c r="L36" s="10">
        <v>0.57999999999999996</v>
      </c>
    </row>
    <row r="37" spans="2:13" ht="17.25" thickBot="1" x14ac:dyDescent="0.35">
      <c r="B37" s="4" t="s">
        <v>3</v>
      </c>
      <c r="C37" s="11">
        <f>C31*$L$29</f>
        <v>0.35710955710955711</v>
      </c>
      <c r="D37" s="11">
        <f>D31*$L$30</f>
        <v>0.29347319347319351</v>
      </c>
      <c r="E37" s="11">
        <f>E31*$L$31</f>
        <v>0.32377622377622378</v>
      </c>
      <c r="F37" s="10">
        <f>SUM(C37:E37)</f>
        <v>0.97435897435897445</v>
      </c>
      <c r="H37" s="6" t="s">
        <v>3</v>
      </c>
      <c r="I37" s="12">
        <f>F37/L31</f>
        <v>3.0093592512598994</v>
      </c>
      <c r="J37" s="2"/>
      <c r="K37" s="2"/>
      <c r="L37" s="2"/>
    </row>
    <row r="38" spans="2:13" ht="17.25" thickBot="1" x14ac:dyDescent="0.35">
      <c r="B38" s="2"/>
      <c r="C38" s="2"/>
      <c r="E38" s="2"/>
      <c r="F38" s="2"/>
      <c r="H38" s="4" t="s">
        <v>19</v>
      </c>
      <c r="I38" s="10">
        <f>AVERAGE(I35:I37)</f>
        <v>3.0092127534410924</v>
      </c>
      <c r="J38" s="2"/>
      <c r="K38" s="2"/>
      <c r="L38" s="2"/>
    </row>
    <row r="39" spans="2:13" x14ac:dyDescent="0.3">
      <c r="B39" s="2"/>
      <c r="C39" s="2"/>
      <c r="E39" s="2"/>
      <c r="F39" s="2"/>
      <c r="H39" s="2"/>
      <c r="I39" s="2"/>
      <c r="J39" s="2"/>
      <c r="K39" s="2"/>
      <c r="L39" s="2"/>
    </row>
    <row r="40" spans="2:13" ht="17.25" thickBot="1" x14ac:dyDescent="0.35">
      <c r="B40" s="2"/>
      <c r="C40" s="2"/>
      <c r="E40" s="2"/>
      <c r="F40" s="2"/>
      <c r="H40" s="2"/>
      <c r="I40" s="2"/>
      <c r="J40" s="2"/>
      <c r="K40" s="2"/>
      <c r="L40" s="2"/>
    </row>
    <row r="41" spans="2:13" ht="17.25" thickBot="1" x14ac:dyDescent="0.35">
      <c r="B41" s="27" t="s">
        <v>28</v>
      </c>
      <c r="C41" s="2"/>
      <c r="D41" s="19"/>
      <c r="E41" s="2"/>
      <c r="F41" s="2"/>
      <c r="H41" s="2"/>
      <c r="I41" s="19"/>
      <c r="J41" s="19"/>
      <c r="K41" s="19"/>
      <c r="L41" s="2"/>
    </row>
    <row r="42" spans="2:13" ht="18" thickTop="1" thickBot="1" x14ac:dyDescent="0.35">
      <c r="B42" s="24"/>
      <c r="C42" s="37"/>
      <c r="E42" s="37"/>
      <c r="F42" s="29"/>
      <c r="G42" s="30"/>
      <c r="H42" s="37"/>
      <c r="L42" s="37"/>
      <c r="M42" s="28"/>
    </row>
    <row r="43" spans="2:13" ht="22.15" customHeight="1" x14ac:dyDescent="0.3">
      <c r="B43" s="22" t="s">
        <v>17</v>
      </c>
      <c r="C43" s="36" t="s">
        <v>2</v>
      </c>
      <c r="D43" s="26" t="s">
        <v>1</v>
      </c>
      <c r="E43" s="34" t="s">
        <v>0</v>
      </c>
      <c r="F43" s="32"/>
      <c r="G43" s="32"/>
      <c r="H43" s="35" t="s">
        <v>13</v>
      </c>
      <c r="I43" s="26" t="s">
        <v>26</v>
      </c>
      <c r="J43" s="26" t="s">
        <v>1</v>
      </c>
      <c r="K43" s="26" t="s">
        <v>0</v>
      </c>
      <c r="L43" s="34" t="s">
        <v>12</v>
      </c>
    </row>
    <row r="44" spans="2:13" x14ac:dyDescent="0.3">
      <c r="B44" s="6" t="s">
        <v>2</v>
      </c>
      <c r="C44" s="2">
        <v>1</v>
      </c>
      <c r="D44" s="2">
        <f>1/C45</f>
        <v>0.25</v>
      </c>
      <c r="E44" s="12">
        <v>3</v>
      </c>
      <c r="F44" s="2"/>
      <c r="H44" s="6" t="s">
        <v>2</v>
      </c>
      <c r="I44" s="2">
        <f>C44/C47</f>
        <v>0.1875</v>
      </c>
      <c r="J44" s="2">
        <f>D44/D47</f>
        <v>0.18181818181818182</v>
      </c>
      <c r="K44" s="2">
        <f>E44/E47</f>
        <v>0.25</v>
      </c>
      <c r="L44" s="12">
        <f>SUM(I44:K44)/3</f>
        <v>0.20643939393939395</v>
      </c>
      <c r="M44" s="33"/>
    </row>
    <row r="45" spans="2:13" x14ac:dyDescent="0.3">
      <c r="B45" s="6" t="s">
        <v>1</v>
      </c>
      <c r="C45" s="2">
        <v>4</v>
      </c>
      <c r="D45" s="2">
        <v>1</v>
      </c>
      <c r="E45" s="12">
        <v>8</v>
      </c>
      <c r="F45" s="2"/>
      <c r="H45" s="6" t="s">
        <v>1</v>
      </c>
      <c r="I45" s="2">
        <f>C45/C47</f>
        <v>0.75</v>
      </c>
      <c r="J45" s="2">
        <f>D45/D47</f>
        <v>0.72727272727272729</v>
      </c>
      <c r="K45" s="2">
        <f>E45/E47</f>
        <v>0.66666666666666663</v>
      </c>
      <c r="L45" s="12">
        <f>SUM(I45:K45)/3</f>
        <v>0.71464646464646464</v>
      </c>
      <c r="M45" s="33"/>
    </row>
    <row r="46" spans="2:13" x14ac:dyDescent="0.3">
      <c r="B46" s="6" t="s">
        <v>0</v>
      </c>
      <c r="C46" s="2">
        <f>1/E44</f>
        <v>0.33333333333333331</v>
      </c>
      <c r="D46" s="2">
        <f>1/E45</f>
        <v>0.125</v>
      </c>
      <c r="E46" s="12">
        <v>1</v>
      </c>
      <c r="F46" s="2"/>
      <c r="H46" s="6" t="s">
        <v>0</v>
      </c>
      <c r="I46" s="2">
        <f>C46/C47</f>
        <v>6.25E-2</v>
      </c>
      <c r="J46" s="2">
        <f>D46/D47</f>
        <v>9.0909090909090912E-2</v>
      </c>
      <c r="K46" s="2">
        <f>E46/E47</f>
        <v>8.3333333333333329E-2</v>
      </c>
      <c r="L46" s="12">
        <f>SUM(I46:K46)/3</f>
        <v>7.8914141414141423E-2</v>
      </c>
      <c r="M46" s="33"/>
    </row>
    <row r="47" spans="2:13" ht="17.25" thickBot="1" x14ac:dyDescent="0.35">
      <c r="B47" s="4" t="s">
        <v>11</v>
      </c>
      <c r="C47" s="11">
        <f>SUM(C44:C46)</f>
        <v>5.333333333333333</v>
      </c>
      <c r="D47" s="11">
        <f>SUM(D44:D46)</f>
        <v>1.375</v>
      </c>
      <c r="E47" s="10">
        <f>SUM(E44:E46)</f>
        <v>12</v>
      </c>
      <c r="F47" s="2"/>
      <c r="H47" s="4" t="s">
        <v>11</v>
      </c>
      <c r="I47" s="11">
        <f>SUM(Seyeon!I44:I46)</f>
        <v>1</v>
      </c>
      <c r="J47" s="11">
        <f>SUM(J44:J46)</f>
        <v>1</v>
      </c>
      <c r="K47" s="11">
        <f>SUM(K44:K46)</f>
        <v>1</v>
      </c>
      <c r="L47" s="10">
        <f>SUM(L44:L46)</f>
        <v>1</v>
      </c>
    </row>
    <row r="48" spans="2:13" ht="17.25" thickBot="1" x14ac:dyDescent="0.35">
      <c r="B48" s="24"/>
      <c r="C48" s="2"/>
      <c r="E48" s="2"/>
      <c r="F48" s="2"/>
      <c r="H48" s="24"/>
      <c r="I48" s="2"/>
      <c r="J48" s="2"/>
      <c r="K48" s="2"/>
      <c r="L48" s="2"/>
    </row>
    <row r="49" spans="1:13" x14ac:dyDescent="0.3">
      <c r="B49" s="22" t="s">
        <v>27</v>
      </c>
      <c r="C49" s="26" t="s">
        <v>26</v>
      </c>
      <c r="D49" s="26" t="s">
        <v>1</v>
      </c>
      <c r="E49" s="26" t="s">
        <v>0</v>
      </c>
      <c r="F49" s="25" t="s">
        <v>25</v>
      </c>
      <c r="G49" s="32"/>
      <c r="H49" s="22" t="s">
        <v>24</v>
      </c>
      <c r="I49" s="25" t="s">
        <v>23</v>
      </c>
      <c r="J49" s="32"/>
      <c r="K49" s="31" t="s">
        <v>22</v>
      </c>
      <c r="L49" s="13">
        <f>(I53-3)/(3-1)</f>
        <v>9.1836123087782884E-3</v>
      </c>
    </row>
    <row r="50" spans="1:13" x14ac:dyDescent="0.3">
      <c r="B50" s="6" t="s">
        <v>2</v>
      </c>
      <c r="C50" s="2">
        <f>C44*$L$44</f>
        <v>0.20643939393939395</v>
      </c>
      <c r="D50" s="2">
        <f>D44*$L$45</f>
        <v>0.17866161616161616</v>
      </c>
      <c r="E50" s="2">
        <f>E44*$L$46</f>
        <v>0.23674242424242425</v>
      </c>
      <c r="F50" s="12">
        <f>SUM(C50:E50)</f>
        <v>0.62184343434343436</v>
      </c>
      <c r="H50" s="6" t="s">
        <v>2</v>
      </c>
      <c r="I50" s="12">
        <f>F50/L44</f>
        <v>3.0122324159021407</v>
      </c>
      <c r="J50" s="2"/>
      <c r="K50" s="6" t="s">
        <v>21</v>
      </c>
      <c r="L50" s="12">
        <f>L49/L51</f>
        <v>1.5833814325479808E-2</v>
      </c>
    </row>
    <row r="51" spans="1:13" ht="17.25" thickBot="1" x14ac:dyDescent="0.35">
      <c r="B51" s="6" t="s">
        <v>1</v>
      </c>
      <c r="C51" s="2">
        <f>C45*$L$44</f>
        <v>0.8257575757575758</v>
      </c>
      <c r="D51" s="2">
        <f>D45*$L$45</f>
        <v>0.71464646464646464</v>
      </c>
      <c r="E51" s="2">
        <f>E45*$L$46</f>
        <v>0.63131313131313138</v>
      </c>
      <c r="F51" s="12">
        <f>SUM(C51:E51)</f>
        <v>2.1717171717171717</v>
      </c>
      <c r="H51" s="6" t="s">
        <v>1</v>
      </c>
      <c r="I51" s="12">
        <f>F51/L45</f>
        <v>3.0388692579505299</v>
      </c>
      <c r="J51" s="2"/>
      <c r="K51" s="4" t="s">
        <v>20</v>
      </c>
      <c r="L51" s="10">
        <v>0.57999999999999996</v>
      </c>
    </row>
    <row r="52" spans="1:13" ht="17.25" thickBot="1" x14ac:dyDescent="0.35">
      <c r="B52" s="4" t="s">
        <v>0</v>
      </c>
      <c r="C52" s="11">
        <f>C46*$L$44</f>
        <v>6.8813131313131312E-2</v>
      </c>
      <c r="D52" s="11">
        <f>D46*$L$45</f>
        <v>8.933080808080808E-2</v>
      </c>
      <c r="E52" s="11">
        <f>E46*$L$46</f>
        <v>7.8914141414141423E-2</v>
      </c>
      <c r="F52" s="10">
        <f>SUM(C52:E52)</f>
        <v>0.23705808080808083</v>
      </c>
      <c r="H52" s="6" t="s">
        <v>0</v>
      </c>
      <c r="I52" s="12">
        <f>F52/L46</f>
        <v>3.004</v>
      </c>
      <c r="J52" s="2"/>
      <c r="K52" s="2"/>
      <c r="L52" s="2"/>
    </row>
    <row r="53" spans="1:13" ht="17.25" thickBot="1" x14ac:dyDescent="0.35">
      <c r="B53" s="2"/>
      <c r="C53" s="2"/>
      <c r="E53" s="2"/>
      <c r="F53" s="2"/>
      <c r="H53" s="4" t="s">
        <v>19</v>
      </c>
      <c r="I53" s="10">
        <f>AVERAGE(I50:I52)</f>
        <v>3.0183672246175566</v>
      </c>
      <c r="J53" s="2"/>
      <c r="K53" s="2"/>
      <c r="L53" s="2"/>
    </row>
    <row r="54" spans="1:13" x14ac:dyDescent="0.3">
      <c r="B54" s="2"/>
      <c r="C54" s="2"/>
      <c r="E54" s="2"/>
      <c r="F54" s="2"/>
      <c r="H54" s="2"/>
      <c r="I54" s="2"/>
      <c r="J54" s="2"/>
      <c r="K54" s="2"/>
      <c r="L54" s="2"/>
    </row>
    <row r="55" spans="1:13" x14ac:dyDescent="0.3">
      <c r="B55" s="2"/>
      <c r="C55" s="2"/>
      <c r="E55" s="2"/>
      <c r="F55" s="2"/>
      <c r="H55" s="2"/>
      <c r="I55" s="2"/>
      <c r="J55" s="2"/>
      <c r="K55" s="2"/>
      <c r="L55" s="2"/>
    </row>
    <row r="56" spans="1:13" ht="17.25" thickBot="1" x14ac:dyDescent="0.35">
      <c r="D56" s="19"/>
    </row>
    <row r="57" spans="1:13" ht="18" thickTop="1" thickBot="1" x14ac:dyDescent="0.35">
      <c r="B57" s="29"/>
      <c r="C57" s="29"/>
      <c r="E57" s="29"/>
      <c r="F57" s="29"/>
      <c r="G57" s="30"/>
      <c r="H57" s="29"/>
      <c r="I57" s="29"/>
      <c r="J57" s="29"/>
      <c r="K57" s="29"/>
      <c r="L57" s="29"/>
      <c r="M57" s="28"/>
    </row>
    <row r="58" spans="1:13" ht="17.25" thickBot="1" x14ac:dyDescent="0.35">
      <c r="B58" s="27" t="s">
        <v>18</v>
      </c>
      <c r="C58" s="2"/>
      <c r="E58" s="2"/>
    </row>
    <row r="59" spans="1:13" ht="17.25" thickBot="1" x14ac:dyDescent="0.35">
      <c r="B59" s="24"/>
      <c r="C59" s="2"/>
      <c r="E59" s="2"/>
    </row>
    <row r="60" spans="1:13" x14ac:dyDescent="0.3">
      <c r="B60" s="22" t="s">
        <v>17</v>
      </c>
      <c r="C60" s="26" t="s">
        <v>39</v>
      </c>
      <c r="D60" s="26" t="s">
        <v>176</v>
      </c>
      <c r="E60" s="25" t="s">
        <v>11</v>
      </c>
      <c r="G60" s="22" t="s">
        <v>16</v>
      </c>
      <c r="H60" s="26" t="s">
        <v>39</v>
      </c>
      <c r="I60" s="26" t="s">
        <v>176</v>
      </c>
      <c r="J60" s="25" t="s">
        <v>11</v>
      </c>
    </row>
    <row r="61" spans="1:13" ht="17.25" thickBot="1" x14ac:dyDescent="0.35">
      <c r="A61" s="20"/>
      <c r="B61" s="4" t="s">
        <v>15</v>
      </c>
      <c r="C61" s="11">
        <v>1</v>
      </c>
      <c r="D61" s="11">
        <f>D21</f>
        <v>1.575143200359252</v>
      </c>
      <c r="E61" s="10">
        <f>SUM(C61:D61)</f>
        <v>2.575143200359252</v>
      </c>
      <c r="G61" s="4" t="s">
        <v>15</v>
      </c>
      <c r="H61" s="11">
        <f>C61/E61</f>
        <v>0.38832791895242658</v>
      </c>
      <c r="I61" s="11">
        <f>D61/E61</f>
        <v>0.61167208104757342</v>
      </c>
      <c r="J61" s="10">
        <f>SUM(H61:I61)</f>
        <v>1</v>
      </c>
    </row>
    <row r="62" spans="1:13" ht="17.25" thickBot="1" x14ac:dyDescent="0.35">
      <c r="G62" s="24"/>
    </row>
    <row r="63" spans="1:13" ht="17.25" thickBot="1" x14ac:dyDescent="0.35">
      <c r="B63" s="23" t="s">
        <v>5</v>
      </c>
      <c r="C63" s="2"/>
    </row>
    <row r="64" spans="1:13" x14ac:dyDescent="0.3">
      <c r="B64" s="22" t="s">
        <v>14</v>
      </c>
      <c r="C64" s="15" t="s">
        <v>39</v>
      </c>
      <c r="D64" s="14" t="s">
        <v>176</v>
      </c>
      <c r="F64" s="22" t="s">
        <v>13</v>
      </c>
      <c r="G64" s="15" t="s">
        <v>39</v>
      </c>
      <c r="H64" s="26" t="s">
        <v>176</v>
      </c>
      <c r="I64" s="14" t="s">
        <v>12</v>
      </c>
    </row>
    <row r="65" spans="2:11" x14ac:dyDescent="0.3">
      <c r="B65" s="6" t="s">
        <v>39</v>
      </c>
      <c r="C65" s="2">
        <v>1</v>
      </c>
      <c r="D65" s="12">
        <f>1/3</f>
        <v>0.33333333333333331</v>
      </c>
      <c r="F65" s="6" t="s">
        <v>39</v>
      </c>
      <c r="G65" s="2">
        <f>C65/$C$67</f>
        <v>0.25</v>
      </c>
      <c r="H65" s="2">
        <f>D65/$D$67</f>
        <v>0.25</v>
      </c>
      <c r="I65" s="12">
        <f>SUM(G65:H65)/2</f>
        <v>0.25</v>
      </c>
    </row>
    <row r="66" spans="2:11" x14ac:dyDescent="0.3">
      <c r="B66" s="46" t="s">
        <v>176</v>
      </c>
      <c r="C66" s="2">
        <f>1/D65</f>
        <v>3</v>
      </c>
      <c r="D66" s="12">
        <v>1</v>
      </c>
      <c r="F66" s="46" t="s">
        <v>176</v>
      </c>
      <c r="G66" s="2">
        <f>C66/$C$67</f>
        <v>0.75</v>
      </c>
      <c r="H66" s="2">
        <f>D66/$D$67</f>
        <v>0.75</v>
      </c>
      <c r="I66" s="12">
        <f>SUM(G66:H66)/2</f>
        <v>0.75</v>
      </c>
    </row>
    <row r="67" spans="2:11" ht="17.25" thickBot="1" x14ac:dyDescent="0.35">
      <c r="B67" s="4" t="s">
        <v>11</v>
      </c>
      <c r="C67" s="11">
        <f>SUM(C65:C66)</f>
        <v>4</v>
      </c>
      <c r="D67" s="10">
        <f>SUM(D65:D66)</f>
        <v>1.3333333333333333</v>
      </c>
      <c r="F67" s="4" t="s">
        <v>11</v>
      </c>
      <c r="G67" s="11">
        <f>SUM(G65:G66)</f>
        <v>1</v>
      </c>
      <c r="H67" s="11">
        <f>SUM(H65:H66)</f>
        <v>1</v>
      </c>
      <c r="I67" s="10">
        <f>SUM(I65:I66)</f>
        <v>1</v>
      </c>
    </row>
    <row r="68" spans="2:11" ht="17.25" thickBot="1" x14ac:dyDescent="0.35">
      <c r="B68" s="24"/>
      <c r="C68" s="2"/>
      <c r="I68" s="2"/>
    </row>
    <row r="69" spans="2:11" ht="17.25" thickBot="1" x14ac:dyDescent="0.35">
      <c r="B69" s="23" t="s">
        <v>4</v>
      </c>
      <c r="C69" s="2"/>
      <c r="I69" s="2"/>
    </row>
    <row r="70" spans="2:11" x14ac:dyDescent="0.3">
      <c r="B70" s="22" t="s">
        <v>14</v>
      </c>
      <c r="C70" s="15" t="s">
        <v>39</v>
      </c>
      <c r="D70" s="25" t="s">
        <v>176</v>
      </c>
      <c r="F70" s="22" t="s">
        <v>13</v>
      </c>
      <c r="G70" s="15" t="s">
        <v>39</v>
      </c>
      <c r="H70" s="26" t="s">
        <v>176</v>
      </c>
      <c r="I70" s="14" t="s">
        <v>12</v>
      </c>
    </row>
    <row r="71" spans="2:11" x14ac:dyDescent="0.3">
      <c r="B71" s="6" t="s">
        <v>39</v>
      </c>
      <c r="C71" s="2">
        <v>1</v>
      </c>
      <c r="D71" s="12">
        <f>1/6</f>
        <v>0.16666666666666666</v>
      </c>
      <c r="F71" s="6" t="s">
        <v>39</v>
      </c>
      <c r="G71" s="2">
        <f>C71/$C$73</f>
        <v>0.14285714285714285</v>
      </c>
      <c r="H71" s="2">
        <f>D71/$D$73</f>
        <v>0.14285714285714285</v>
      </c>
      <c r="I71" s="12">
        <f>SUM(G71:H71)/2</f>
        <v>0.14285714285714285</v>
      </c>
    </row>
    <row r="72" spans="2:11" x14ac:dyDescent="0.3">
      <c r="B72" s="46" t="s">
        <v>176</v>
      </c>
      <c r="C72" s="2">
        <f>1/D71</f>
        <v>6</v>
      </c>
      <c r="D72" s="12">
        <v>1</v>
      </c>
      <c r="F72" s="46" t="s">
        <v>176</v>
      </c>
      <c r="G72" s="2">
        <f>C72/$C$73</f>
        <v>0.8571428571428571</v>
      </c>
      <c r="H72" s="2">
        <f>D72/$D$73</f>
        <v>0.8571428571428571</v>
      </c>
      <c r="I72" s="12">
        <f>SUM(G72:H72)/2</f>
        <v>0.8571428571428571</v>
      </c>
    </row>
    <row r="73" spans="2:11" ht="17.25" thickBot="1" x14ac:dyDescent="0.35">
      <c r="B73" s="4" t="s">
        <v>11</v>
      </c>
      <c r="C73" s="11">
        <f>SUM(C71:C72)</f>
        <v>7</v>
      </c>
      <c r="D73" s="10">
        <f>SUM(D71:D72)</f>
        <v>1.1666666666666667</v>
      </c>
      <c r="F73" s="4" t="s">
        <v>11</v>
      </c>
      <c r="G73" s="11">
        <f>SUM(G71:G72)</f>
        <v>1</v>
      </c>
      <c r="H73" s="11">
        <f>SUM(H71:H72)</f>
        <v>1</v>
      </c>
      <c r="I73" s="10">
        <f>SUM(I71:I72)</f>
        <v>1</v>
      </c>
    </row>
    <row r="74" spans="2:11" ht="17.25" thickBot="1" x14ac:dyDescent="0.35">
      <c r="B74" s="24"/>
      <c r="C74" s="2"/>
      <c r="I74" s="2"/>
    </row>
    <row r="75" spans="2:11" ht="17.25" thickBot="1" x14ac:dyDescent="0.35">
      <c r="B75" s="23" t="s">
        <v>3</v>
      </c>
      <c r="C75" s="2"/>
      <c r="I75" s="2"/>
    </row>
    <row r="76" spans="2:11" x14ac:dyDescent="0.3">
      <c r="B76" s="22" t="s">
        <v>14</v>
      </c>
      <c r="C76" s="15" t="s">
        <v>39</v>
      </c>
      <c r="D76" s="25" t="s">
        <v>176</v>
      </c>
      <c r="E76" s="20"/>
      <c r="F76" s="22" t="s">
        <v>13</v>
      </c>
      <c r="G76" s="15" t="s">
        <v>39</v>
      </c>
      <c r="H76" s="26" t="s">
        <v>176</v>
      </c>
      <c r="I76" s="14" t="s">
        <v>12</v>
      </c>
      <c r="J76" s="20"/>
      <c r="K76" s="20"/>
    </row>
    <row r="77" spans="2:11" x14ac:dyDescent="0.3">
      <c r="B77" s="6" t="s">
        <v>39</v>
      </c>
      <c r="C77" s="2">
        <v>1</v>
      </c>
      <c r="D77" s="12">
        <f>1/9</f>
        <v>0.1111111111111111</v>
      </c>
      <c r="F77" s="6" t="s">
        <v>39</v>
      </c>
      <c r="G77" s="2">
        <f>C77/$C$79</f>
        <v>0.1</v>
      </c>
      <c r="H77" s="2">
        <f>D77/$D$79</f>
        <v>9.9999999999999992E-2</v>
      </c>
      <c r="I77" s="12">
        <f>SUM(G77:H77)/2</f>
        <v>0.1</v>
      </c>
    </row>
    <row r="78" spans="2:11" x14ac:dyDescent="0.3">
      <c r="B78" s="46" t="s">
        <v>176</v>
      </c>
      <c r="C78" s="2">
        <f>1/D77</f>
        <v>9</v>
      </c>
      <c r="D78" s="12">
        <v>1</v>
      </c>
      <c r="F78" s="46" t="s">
        <v>176</v>
      </c>
      <c r="G78" s="2">
        <f>C78/$C$79</f>
        <v>0.9</v>
      </c>
      <c r="H78" s="2">
        <f>D78/$D$79</f>
        <v>0.89999999999999991</v>
      </c>
      <c r="I78" s="12">
        <f>SUM(G78:H78)/2</f>
        <v>0.89999999999999991</v>
      </c>
    </row>
    <row r="79" spans="2:11" ht="17.25" thickBot="1" x14ac:dyDescent="0.35">
      <c r="B79" s="4" t="s">
        <v>11</v>
      </c>
      <c r="C79" s="11">
        <f>SUM(C77:C78)</f>
        <v>10</v>
      </c>
      <c r="D79" s="10">
        <f>SUM(D77:D78)</f>
        <v>1.1111111111111112</v>
      </c>
      <c r="F79" s="4" t="s">
        <v>11</v>
      </c>
      <c r="G79" s="11">
        <f>SUM(G77:G78)</f>
        <v>1</v>
      </c>
      <c r="H79" s="11">
        <f>SUM(H77:H78)</f>
        <v>0.99999999999999989</v>
      </c>
      <c r="I79" s="10">
        <f>SUM(I77:I78)</f>
        <v>0.99999999999999989</v>
      </c>
    </row>
    <row r="80" spans="2:11" ht="17.25" thickBot="1" x14ac:dyDescent="0.35">
      <c r="B80" s="24"/>
      <c r="C80" s="2"/>
      <c r="I80" s="2"/>
    </row>
    <row r="81" spans="1:14" ht="17.25" thickBot="1" x14ac:dyDescent="0.35">
      <c r="B81" s="23" t="s">
        <v>2</v>
      </c>
      <c r="C81" s="2"/>
      <c r="I81" s="2"/>
    </row>
    <row r="82" spans="1:14" x14ac:dyDescent="0.3">
      <c r="B82" s="22" t="s">
        <v>14</v>
      </c>
      <c r="C82" s="15" t="s">
        <v>39</v>
      </c>
      <c r="D82" s="25" t="s">
        <v>176</v>
      </c>
      <c r="F82" s="22" t="s">
        <v>13</v>
      </c>
      <c r="G82" s="15" t="s">
        <v>39</v>
      </c>
      <c r="H82" s="26" t="s">
        <v>176</v>
      </c>
      <c r="I82" s="14" t="s">
        <v>12</v>
      </c>
    </row>
    <row r="83" spans="1:14" s="20" customFormat="1" x14ac:dyDescent="0.3">
      <c r="A83"/>
      <c r="B83" s="6" t="s">
        <v>39</v>
      </c>
      <c r="C83" s="2">
        <v>1</v>
      </c>
      <c r="D83" s="12">
        <f>1/5</f>
        <v>0.2</v>
      </c>
      <c r="E83"/>
      <c r="F83" s="6" t="s">
        <v>39</v>
      </c>
      <c r="G83" s="2">
        <f>C83/$C$85</f>
        <v>0.16666666666666666</v>
      </c>
      <c r="H83" s="2">
        <f>D83/$D$85</f>
        <v>0.16666666666666669</v>
      </c>
      <c r="I83" s="12">
        <f>SUM(G83:H83)/2</f>
        <v>0.16666666666666669</v>
      </c>
      <c r="J83"/>
      <c r="K83"/>
      <c r="L83"/>
      <c r="M83" s="1"/>
      <c r="N83"/>
    </row>
    <row r="84" spans="1:14" x14ac:dyDescent="0.3">
      <c r="B84" s="46" t="s">
        <v>176</v>
      </c>
      <c r="C84" s="2">
        <f>1/D83</f>
        <v>5</v>
      </c>
      <c r="D84" s="12">
        <v>1</v>
      </c>
      <c r="F84" s="46" t="s">
        <v>176</v>
      </c>
      <c r="G84" s="2">
        <f>C84/$C$85</f>
        <v>0.83333333333333337</v>
      </c>
      <c r="H84" s="2">
        <f>D84/$D$85</f>
        <v>0.83333333333333337</v>
      </c>
      <c r="I84" s="12">
        <f>SUM(G84:H84)/2</f>
        <v>0.83333333333333337</v>
      </c>
    </row>
    <row r="85" spans="1:14" ht="17.25" thickBot="1" x14ac:dyDescent="0.35">
      <c r="B85" s="4" t="s">
        <v>11</v>
      </c>
      <c r="C85" s="11">
        <f>SUM(C83:C84)</f>
        <v>6</v>
      </c>
      <c r="D85" s="10">
        <f>SUM(D83:D84)</f>
        <v>1.2</v>
      </c>
      <c r="F85" s="4" t="s">
        <v>11</v>
      </c>
      <c r="G85" s="11">
        <f>SUM(G83:G84)</f>
        <v>1</v>
      </c>
      <c r="H85" s="11">
        <f>SUM(H83:H84)</f>
        <v>1</v>
      </c>
      <c r="I85" s="10">
        <f>SUM(I83:I84)</f>
        <v>1</v>
      </c>
    </row>
    <row r="86" spans="1:14" ht="17.25" thickBot="1" x14ac:dyDescent="0.35">
      <c r="B86" s="24"/>
      <c r="C86" s="2"/>
      <c r="I86" s="2"/>
    </row>
    <row r="87" spans="1:14" ht="17.25" thickBot="1" x14ac:dyDescent="0.35">
      <c r="B87" s="23" t="s">
        <v>1</v>
      </c>
      <c r="C87" s="2"/>
      <c r="I87" s="2"/>
    </row>
    <row r="88" spans="1:14" x14ac:dyDescent="0.3">
      <c r="B88" s="22" t="s">
        <v>14</v>
      </c>
      <c r="C88" s="15" t="s">
        <v>39</v>
      </c>
      <c r="D88" s="25" t="s">
        <v>176</v>
      </c>
      <c r="F88" s="22" t="s">
        <v>13</v>
      </c>
      <c r="G88" s="15" t="s">
        <v>39</v>
      </c>
      <c r="H88" s="26" t="s">
        <v>176</v>
      </c>
      <c r="I88" s="14" t="s">
        <v>12</v>
      </c>
    </row>
    <row r="89" spans="1:14" x14ac:dyDescent="0.3">
      <c r="B89" s="6" t="s">
        <v>39</v>
      </c>
      <c r="C89" s="2">
        <v>1</v>
      </c>
      <c r="D89" s="12">
        <f>1/7</f>
        <v>0.14285714285714285</v>
      </c>
      <c r="F89" s="6" t="s">
        <v>39</v>
      </c>
      <c r="G89" s="2">
        <f>C89/$C$91</f>
        <v>0.125</v>
      </c>
      <c r="H89" s="2">
        <f>D89/$D$91</f>
        <v>0.125</v>
      </c>
      <c r="I89" s="12">
        <f>SUM(G89:H89)/2</f>
        <v>0.125</v>
      </c>
    </row>
    <row r="90" spans="1:14" x14ac:dyDescent="0.3">
      <c r="B90" s="46" t="s">
        <v>176</v>
      </c>
      <c r="C90" s="2">
        <f>1/D89</f>
        <v>7</v>
      </c>
      <c r="D90" s="12">
        <v>1</v>
      </c>
      <c r="F90" s="46" t="s">
        <v>176</v>
      </c>
      <c r="G90" s="2">
        <f>C90/$C$91</f>
        <v>0.875</v>
      </c>
      <c r="H90" s="2">
        <f>D90/$D$91</f>
        <v>0.875</v>
      </c>
      <c r="I90" s="12">
        <f>SUM(G90:H90)/2</f>
        <v>0.875</v>
      </c>
    </row>
    <row r="91" spans="1:14" ht="17.25" thickBot="1" x14ac:dyDescent="0.35">
      <c r="B91" s="4" t="s">
        <v>11</v>
      </c>
      <c r="C91" s="11">
        <f>SUM(C89:C90)</f>
        <v>8</v>
      </c>
      <c r="D91" s="10">
        <f>SUM(D89:D90)</f>
        <v>1.1428571428571428</v>
      </c>
      <c r="F91" s="4" t="s">
        <v>11</v>
      </c>
      <c r="G91" s="11">
        <f>SUM(G89:G90)</f>
        <v>1</v>
      </c>
      <c r="H91" s="11">
        <f>SUM(H89:H90)</f>
        <v>1</v>
      </c>
      <c r="I91" s="10">
        <f>SUM(I89:I90)</f>
        <v>1</v>
      </c>
    </row>
    <row r="92" spans="1:14" ht="17.25" thickBot="1" x14ac:dyDescent="0.35">
      <c r="B92" s="24"/>
      <c r="C92" s="2"/>
      <c r="I92" s="2"/>
    </row>
    <row r="93" spans="1:14" ht="17.25" thickBot="1" x14ac:dyDescent="0.35">
      <c r="B93" s="23" t="s">
        <v>0</v>
      </c>
      <c r="C93" s="2"/>
      <c r="I93" s="2"/>
    </row>
    <row r="94" spans="1:14" x14ac:dyDescent="0.3">
      <c r="B94" s="22" t="s">
        <v>14</v>
      </c>
      <c r="C94" s="15" t="s">
        <v>39</v>
      </c>
      <c r="D94" s="25" t="s">
        <v>176</v>
      </c>
      <c r="F94" s="22" t="s">
        <v>13</v>
      </c>
      <c r="G94" s="15" t="s">
        <v>39</v>
      </c>
      <c r="H94" s="26" t="s">
        <v>176</v>
      </c>
      <c r="I94" s="14" t="s">
        <v>12</v>
      </c>
    </row>
    <row r="95" spans="1:14" x14ac:dyDescent="0.3">
      <c r="B95" s="6" t="s">
        <v>39</v>
      </c>
      <c r="C95" s="2">
        <v>1</v>
      </c>
      <c r="D95" s="12">
        <f>1/3</f>
        <v>0.33333333333333331</v>
      </c>
      <c r="F95" s="6" t="s">
        <v>39</v>
      </c>
      <c r="G95" s="2">
        <f>C95/$C$97</f>
        <v>0.25</v>
      </c>
      <c r="H95" s="2">
        <f>D95/$D$97</f>
        <v>0.25</v>
      </c>
      <c r="I95" s="12">
        <f>SUM(G95:H95)/2</f>
        <v>0.25</v>
      </c>
    </row>
    <row r="96" spans="1:14" x14ac:dyDescent="0.3">
      <c r="B96" s="46" t="s">
        <v>176</v>
      </c>
      <c r="C96" s="2">
        <f>1/D95</f>
        <v>3</v>
      </c>
      <c r="D96" s="12">
        <v>1</v>
      </c>
      <c r="F96" s="46" t="s">
        <v>176</v>
      </c>
      <c r="G96" s="2">
        <f>C96/$C$97</f>
        <v>0.75</v>
      </c>
      <c r="H96" s="2">
        <f>D96/$D$97</f>
        <v>0.75</v>
      </c>
      <c r="I96" s="12">
        <f>SUM(G96:H96)/2</f>
        <v>0.75</v>
      </c>
    </row>
    <row r="97" spans="2:14" ht="17.25" thickBot="1" x14ac:dyDescent="0.35">
      <c r="B97" s="4" t="s">
        <v>11</v>
      </c>
      <c r="C97" s="11">
        <f>SUM(C95:C96)</f>
        <v>4</v>
      </c>
      <c r="D97" s="10">
        <f>SUM(D95:D96)</f>
        <v>1.3333333333333333</v>
      </c>
      <c r="F97" s="4" t="s">
        <v>11</v>
      </c>
      <c r="G97" s="11">
        <f>SUM(G95:G96)</f>
        <v>1</v>
      </c>
      <c r="H97" s="11">
        <f>SUM(H95:H96)</f>
        <v>1</v>
      </c>
      <c r="I97" s="10">
        <f>SUM(I95:I96)</f>
        <v>1</v>
      </c>
    </row>
    <row r="98" spans="2:14" x14ac:dyDescent="0.3">
      <c r="C98" s="2"/>
      <c r="I98" s="2"/>
      <c r="L98" s="20"/>
      <c r="M98" s="21"/>
      <c r="N98" s="20"/>
    </row>
    <row r="99" spans="2:14" ht="17.25" thickBot="1" x14ac:dyDescent="0.35">
      <c r="B99" s="18"/>
      <c r="C99" s="18"/>
      <c r="D99" s="19"/>
      <c r="E99" s="18"/>
      <c r="F99" s="18"/>
      <c r="G99" s="19"/>
      <c r="H99" s="18"/>
      <c r="I99" s="18"/>
      <c r="J99" s="18"/>
      <c r="K99" s="18"/>
      <c r="L99" s="18"/>
      <c r="M99" s="17"/>
    </row>
    <row r="100" spans="2:14" ht="17.25" thickTop="1" x14ac:dyDescent="0.3"/>
    <row r="101" spans="2:14" ht="17.25" thickBot="1" x14ac:dyDescent="0.35">
      <c r="B101" s="9" t="s">
        <v>10</v>
      </c>
      <c r="F101" s="9" t="s">
        <v>9</v>
      </c>
    </row>
    <row r="102" spans="2:14" ht="17.25" thickBot="1" x14ac:dyDescent="0.35">
      <c r="B102" s="16"/>
      <c r="C102" s="15" t="s">
        <v>39</v>
      </c>
      <c r="D102" s="14" t="s">
        <v>176</v>
      </c>
    </row>
    <row r="103" spans="2:14" x14ac:dyDescent="0.3">
      <c r="B103" s="6" t="s">
        <v>6</v>
      </c>
      <c r="C103" s="2">
        <f>H61</f>
        <v>0.38832791895242658</v>
      </c>
      <c r="D103" s="12">
        <f>I61</f>
        <v>0.61167208104757342</v>
      </c>
      <c r="F103" s="8" t="s">
        <v>39</v>
      </c>
      <c r="G103" s="13">
        <f>C103*C113+C104*C114+C105*C115+C106*C116+C107*C117+C108*C118+C109*C119</f>
        <v>0.29726670698660446</v>
      </c>
    </row>
    <row r="104" spans="2:14" ht="17.25" thickBot="1" x14ac:dyDescent="0.35">
      <c r="B104" s="6" t="s">
        <v>5</v>
      </c>
      <c r="C104" s="2">
        <f>I65</f>
        <v>0.25</v>
      </c>
      <c r="D104" s="12">
        <f>I66</f>
        <v>0.75</v>
      </c>
      <c r="F104" s="4" t="s">
        <v>176</v>
      </c>
      <c r="G104" s="10">
        <f>D103*C113+D104*C114+D105*C115+D106*C116+D107*C117+D108*C118+D109*C119</f>
        <v>0.70273329301339549</v>
      </c>
    </row>
    <row r="105" spans="2:14" x14ac:dyDescent="0.3">
      <c r="B105" s="6" t="s">
        <v>4</v>
      </c>
      <c r="C105" s="2">
        <f>I71</f>
        <v>0.14285714285714285</v>
      </c>
      <c r="D105" s="12">
        <f>I72</f>
        <v>0.8571428571428571</v>
      </c>
    </row>
    <row r="106" spans="2:14" x14ac:dyDescent="0.3">
      <c r="B106" s="6" t="s">
        <v>3</v>
      </c>
      <c r="C106" s="2">
        <f>I77</f>
        <v>0.1</v>
      </c>
      <c r="D106" s="12">
        <f>I78</f>
        <v>0.89999999999999991</v>
      </c>
    </row>
    <row r="107" spans="2:14" x14ac:dyDescent="0.3">
      <c r="B107" s="6" t="s">
        <v>2</v>
      </c>
      <c r="C107" s="2">
        <f>I83</f>
        <v>0.16666666666666669</v>
      </c>
      <c r="D107" s="12">
        <f>I84</f>
        <v>0.83333333333333337</v>
      </c>
    </row>
    <row r="108" spans="2:14" x14ac:dyDescent="0.3">
      <c r="B108" s="6" t="s">
        <v>1</v>
      </c>
      <c r="C108" s="2">
        <f>I89</f>
        <v>0.125</v>
      </c>
      <c r="D108" s="12">
        <f>I90</f>
        <v>0.875</v>
      </c>
    </row>
    <row r="109" spans="2:14" ht="17.25" thickBot="1" x14ac:dyDescent="0.35">
      <c r="B109" s="4" t="s">
        <v>0</v>
      </c>
      <c r="C109" s="11">
        <f>I95</f>
        <v>0.25</v>
      </c>
      <c r="D109" s="10">
        <f>I96</f>
        <v>0.75</v>
      </c>
    </row>
    <row r="112" spans="2:14" ht="17.25" thickBot="1" x14ac:dyDescent="0.35">
      <c r="B112" s="9" t="s">
        <v>7</v>
      </c>
    </row>
    <row r="113" spans="2:3" x14ac:dyDescent="0.3">
      <c r="B113" s="8" t="s">
        <v>6</v>
      </c>
      <c r="C113" s="7">
        <f>L5</f>
        <v>0.63334572030224201</v>
      </c>
    </row>
    <row r="114" spans="2:3" x14ac:dyDescent="0.3">
      <c r="B114" s="6" t="s">
        <v>5</v>
      </c>
      <c r="C114" s="5">
        <f>L29*$L$6</f>
        <v>2.3256577437179446E-2</v>
      </c>
    </row>
    <row r="115" spans="2:3" x14ac:dyDescent="0.3">
      <c r="B115" s="6" t="s">
        <v>4</v>
      </c>
      <c r="C115" s="5">
        <f>L30*$L$6</f>
        <v>0.15289833416923723</v>
      </c>
    </row>
    <row r="116" spans="2:3" x14ac:dyDescent="0.3">
      <c r="B116" s="6" t="s">
        <v>3</v>
      </c>
      <c r="C116" s="5">
        <f>L31*$L$6</f>
        <v>8.4343044543713455E-2</v>
      </c>
    </row>
    <row r="117" spans="2:3" x14ac:dyDescent="0.3">
      <c r="B117" s="6" t="s">
        <v>2</v>
      </c>
      <c r="C117" s="5">
        <f>L44*$L$7</f>
        <v>2.1914847096006516E-2</v>
      </c>
    </row>
    <row r="118" spans="2:3" x14ac:dyDescent="0.3">
      <c r="B118" s="6" t="s">
        <v>1</v>
      </c>
      <c r="C118" s="5">
        <f>L45*$L$7</f>
        <v>7.5864241323178525E-2</v>
      </c>
    </row>
    <row r="119" spans="2:3" ht="17.25" thickBot="1" x14ac:dyDescent="0.35">
      <c r="B119" s="4" t="s">
        <v>0</v>
      </c>
      <c r="C119" s="3">
        <f>L46*$L$7</f>
        <v>8.377235128442859E-3</v>
      </c>
    </row>
  </sheetData>
  <mergeCells count="2">
    <mergeCell ref="B20:B21"/>
    <mergeCell ref="B22:B2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44B-E02E-415B-AD17-C37C4D8A7062}">
  <dimension ref="A2:N119"/>
  <sheetViews>
    <sheetView showGridLines="0" zoomScale="63" zoomScaleNormal="55" workbookViewId="0">
      <selection activeCell="L11" sqref="L11:L13"/>
    </sheetView>
  </sheetViews>
  <sheetFormatPr defaultRowHeight="16.5" x14ac:dyDescent="0.3"/>
  <cols>
    <col min="2" max="3" width="26" bestFit="1" customWidth="1"/>
    <col min="4" max="4" width="23.125" style="2" bestFit="1" customWidth="1"/>
    <col min="5" max="5" width="19.625" bestFit="1" customWidth="1"/>
    <col min="6" max="6" width="22.25" bestFit="1" customWidth="1"/>
    <col min="7" max="7" width="19.75" style="2" bestFit="1" customWidth="1"/>
    <col min="8" max="9" width="26" bestFit="1" customWidth="1"/>
    <col min="10" max="10" width="30.125" bestFit="1" customWidth="1"/>
    <col min="11" max="11" width="14.375" bestFit="1" customWidth="1"/>
    <col min="12" max="12" width="19.375" bestFit="1" customWidth="1"/>
    <col min="13" max="13" width="21.125" style="1" customWidth="1"/>
    <col min="14" max="14" width="19.625" customWidth="1"/>
  </cols>
  <sheetData>
    <row r="2" spans="2:13" x14ac:dyDescent="0.3">
      <c r="B2" s="9" t="s">
        <v>36</v>
      </c>
      <c r="C2" s="2"/>
      <c r="E2" s="2"/>
      <c r="F2" s="2"/>
      <c r="H2" s="2"/>
      <c r="I2" s="2"/>
      <c r="J2" s="2"/>
      <c r="K2" s="2"/>
      <c r="L2" s="2"/>
    </row>
    <row r="3" spans="2:13" ht="17.25" thickBot="1" x14ac:dyDescent="0.35">
      <c r="B3" s="2"/>
      <c r="C3" s="2"/>
      <c r="E3" s="2"/>
      <c r="F3" s="2"/>
      <c r="H3" s="2"/>
      <c r="I3" s="2"/>
      <c r="J3" s="2"/>
      <c r="K3" s="2"/>
      <c r="L3" s="2"/>
    </row>
    <row r="4" spans="2:13" x14ac:dyDescent="0.3">
      <c r="B4" s="22" t="s">
        <v>17</v>
      </c>
      <c r="C4" s="26" t="s">
        <v>18</v>
      </c>
      <c r="D4" s="26" t="s">
        <v>35</v>
      </c>
      <c r="E4" s="25" t="s">
        <v>34</v>
      </c>
      <c r="F4" s="32"/>
      <c r="G4" s="32"/>
      <c r="H4" s="47" t="s">
        <v>16</v>
      </c>
      <c r="I4" s="26" t="s">
        <v>18</v>
      </c>
      <c r="J4" s="26" t="s">
        <v>35</v>
      </c>
      <c r="K4" s="26" t="s">
        <v>34</v>
      </c>
      <c r="L4" s="25" t="s">
        <v>12</v>
      </c>
    </row>
    <row r="5" spans="2:13" x14ac:dyDescent="0.3">
      <c r="B5" s="6" t="s">
        <v>18</v>
      </c>
      <c r="C5" s="2">
        <v>1</v>
      </c>
      <c r="D5" s="2">
        <f>1/C6</f>
        <v>2</v>
      </c>
      <c r="E5" s="12">
        <f>1/C7</f>
        <v>5</v>
      </c>
      <c r="F5" s="2"/>
      <c r="H5" s="6" t="s">
        <v>18</v>
      </c>
      <c r="I5" s="2">
        <f>C5/$C$8</f>
        <v>0.58823529411764708</v>
      </c>
      <c r="J5" s="2">
        <f>D5/$D$8</f>
        <v>0.63157894736842113</v>
      </c>
      <c r="K5" s="2">
        <f>E5/$E$8</f>
        <v>0.41666666666666669</v>
      </c>
      <c r="L5" s="12">
        <f>SUM(I5:K5)/3</f>
        <v>0.54549363605091161</v>
      </c>
      <c r="M5" s="33" t="s">
        <v>41</v>
      </c>
    </row>
    <row r="6" spans="2:13" x14ac:dyDescent="0.3">
      <c r="B6" s="6" t="s">
        <v>35</v>
      </c>
      <c r="C6" s="2">
        <f>1/2</f>
        <v>0.5</v>
      </c>
      <c r="D6" s="2">
        <v>1</v>
      </c>
      <c r="E6" s="12">
        <f>1/D7</f>
        <v>6</v>
      </c>
      <c r="F6" s="2"/>
      <c r="H6" s="6" t="s">
        <v>35</v>
      </c>
      <c r="I6" s="2">
        <f>C6/$C$8</f>
        <v>0.29411764705882354</v>
      </c>
      <c r="J6" s="2">
        <f>D6/$D$8</f>
        <v>0.31578947368421056</v>
      </c>
      <c r="K6" s="2">
        <f>E6/$E$8</f>
        <v>0.5</v>
      </c>
      <c r="L6" s="12">
        <f>SUM(I6:K6)/3</f>
        <v>0.36996904024767802</v>
      </c>
      <c r="M6" s="33" t="s">
        <v>42</v>
      </c>
    </row>
    <row r="7" spans="2:13" x14ac:dyDescent="0.3">
      <c r="B7" s="6" t="s">
        <v>34</v>
      </c>
      <c r="C7" s="2">
        <f>1/5</f>
        <v>0.2</v>
      </c>
      <c r="D7" s="2">
        <f>1/6</f>
        <v>0.16666666666666666</v>
      </c>
      <c r="E7" s="12">
        <v>1</v>
      </c>
      <c r="F7" s="2"/>
      <c r="H7" s="6" t="s">
        <v>34</v>
      </c>
      <c r="I7" s="2">
        <f>C7/$C$8</f>
        <v>0.11764705882352942</v>
      </c>
      <c r="J7" s="2">
        <f>D7/$D$8</f>
        <v>5.2631578947368418E-2</v>
      </c>
      <c r="K7" s="2">
        <f>E7/$E$8</f>
        <v>8.3333333333333329E-2</v>
      </c>
      <c r="L7" s="12">
        <f>SUM(I7:K7)/3</f>
        <v>8.4537323701410386E-2</v>
      </c>
      <c r="M7" s="33" t="s">
        <v>40</v>
      </c>
    </row>
    <row r="8" spans="2:13" ht="17.25" thickBot="1" x14ac:dyDescent="0.35">
      <c r="B8" s="4" t="s">
        <v>11</v>
      </c>
      <c r="C8" s="11">
        <f>SUM(C5:C7)</f>
        <v>1.7</v>
      </c>
      <c r="D8" s="11">
        <f>SUM(D5:D7)</f>
        <v>3.1666666666666665</v>
      </c>
      <c r="E8" s="10">
        <f>SUM(E5:E7)</f>
        <v>12</v>
      </c>
      <c r="F8" s="2"/>
      <c r="H8" s="4" t="s">
        <v>11</v>
      </c>
      <c r="I8" s="11">
        <f>SUM(I5:I7)</f>
        <v>1</v>
      </c>
      <c r="J8" s="11">
        <f>SUM(J5:J7)</f>
        <v>1</v>
      </c>
      <c r="K8" s="11">
        <f>SUM(K5:K7)</f>
        <v>1</v>
      </c>
      <c r="L8" s="10">
        <f>SUM(L5:L7)</f>
        <v>1</v>
      </c>
    </row>
    <row r="9" spans="2:13" x14ac:dyDescent="0.3">
      <c r="B9" s="24"/>
      <c r="C9" s="2"/>
      <c r="E9" s="2"/>
      <c r="F9" s="2"/>
      <c r="H9" s="2"/>
      <c r="I9" s="2"/>
      <c r="J9" s="2"/>
      <c r="K9" s="2"/>
      <c r="L9" s="2"/>
    </row>
    <row r="10" spans="2:13" ht="17.25" thickBot="1" x14ac:dyDescent="0.35">
      <c r="B10" s="24"/>
      <c r="C10" s="2"/>
      <c r="E10" s="2"/>
      <c r="F10" s="2"/>
      <c r="H10" s="2"/>
      <c r="I10" s="2"/>
      <c r="J10" s="2"/>
      <c r="K10" s="2"/>
      <c r="L10" s="2"/>
    </row>
    <row r="11" spans="2:13" x14ac:dyDescent="0.3">
      <c r="B11" s="22" t="s">
        <v>30</v>
      </c>
      <c r="C11" s="26" t="s">
        <v>18</v>
      </c>
      <c r="D11" s="26" t="s">
        <v>35</v>
      </c>
      <c r="E11" s="26" t="s">
        <v>34</v>
      </c>
      <c r="F11" s="25" t="s">
        <v>25</v>
      </c>
      <c r="G11" s="32"/>
      <c r="H11" s="47" t="s">
        <v>24</v>
      </c>
      <c r="I11" s="25" t="s">
        <v>23</v>
      </c>
      <c r="J11" s="32"/>
      <c r="K11" s="31" t="s">
        <v>22</v>
      </c>
      <c r="L11" s="13">
        <f>(I15-3)/(3-1)</f>
        <v>4.3245053203268435E-2</v>
      </c>
    </row>
    <row r="12" spans="2:13" x14ac:dyDescent="0.3">
      <c r="B12" s="6" t="s">
        <v>18</v>
      </c>
      <c r="C12" s="2">
        <f>C5*$L$5</f>
        <v>0.54549363605091161</v>
      </c>
      <c r="D12" s="2">
        <f>D5*$L$6</f>
        <v>0.73993808049535603</v>
      </c>
      <c r="E12" s="2">
        <f>E5*$L$7</f>
        <v>0.42268661850705191</v>
      </c>
      <c r="F12" s="12">
        <f>SUM(C12:E12)</f>
        <v>1.7081183350533196</v>
      </c>
      <c r="H12" s="46" t="s">
        <v>18</v>
      </c>
      <c r="I12" s="12">
        <f>F12/L5</f>
        <v>3.1313258710389404</v>
      </c>
      <c r="J12" s="2"/>
      <c r="K12" s="6" t="s">
        <v>21</v>
      </c>
      <c r="L12" s="12">
        <f>L11/L13</f>
        <v>7.4560436557359375E-2</v>
      </c>
    </row>
    <row r="13" spans="2:13" ht="17.25" thickBot="1" x14ac:dyDescent="0.35">
      <c r="B13" s="6" t="s">
        <v>35</v>
      </c>
      <c r="C13" s="2">
        <f>C6*$L$5</f>
        <v>0.27274681802545581</v>
      </c>
      <c r="D13" s="2">
        <f>D6*$L$6</f>
        <v>0.36996904024767802</v>
      </c>
      <c r="E13" s="2">
        <f>E6*$L$7</f>
        <v>0.50722394220846234</v>
      </c>
      <c r="F13" s="12">
        <f>SUM(C13:E13)</f>
        <v>1.1499398004815962</v>
      </c>
      <c r="H13" s="46" t="s">
        <v>35</v>
      </c>
      <c r="I13" s="12">
        <f>F13/L6</f>
        <v>3.1082054858205486</v>
      </c>
      <c r="J13" s="2"/>
      <c r="K13" s="4" t="s">
        <v>20</v>
      </c>
      <c r="L13" s="10">
        <v>0.57999999999999996</v>
      </c>
    </row>
    <row r="14" spans="2:13" ht="17.25" thickBot="1" x14ac:dyDescent="0.35">
      <c r="B14" s="4" t="s">
        <v>34</v>
      </c>
      <c r="C14" s="11">
        <f>C7*$L$5</f>
        <v>0.10909872721018232</v>
      </c>
      <c r="D14" s="11">
        <f>D7*$L$6</f>
        <v>6.1661506707946331E-2</v>
      </c>
      <c r="E14" s="11">
        <f>E7*$L$7</f>
        <v>8.4537323701410386E-2</v>
      </c>
      <c r="F14" s="10">
        <f>SUM(C14:E14)</f>
        <v>0.25529755761953904</v>
      </c>
      <c r="H14" s="46" t="s">
        <v>34</v>
      </c>
      <c r="I14" s="12">
        <f>F14/L7</f>
        <v>3.019938962360122</v>
      </c>
      <c r="J14" s="2"/>
      <c r="K14" s="2"/>
      <c r="L14" s="2"/>
    </row>
    <row r="15" spans="2:13" ht="17.25" thickBot="1" x14ac:dyDescent="0.35">
      <c r="H15" s="45" t="s">
        <v>19</v>
      </c>
      <c r="I15" s="10">
        <f>AVERAGE(I12:I14)</f>
        <v>3.0864901064065369</v>
      </c>
    </row>
    <row r="18" spans="2:13" ht="17.25" thickBot="1" x14ac:dyDescent="0.35">
      <c r="B18" s="44" t="s">
        <v>33</v>
      </c>
      <c r="C18" s="40"/>
      <c r="F18" s="18"/>
      <c r="G18" s="19"/>
    </row>
    <row r="19" spans="2:13" ht="18" thickTop="1" thickBot="1" x14ac:dyDescent="0.35">
      <c r="B19" s="24"/>
      <c r="D19" s="38"/>
      <c r="E19" s="29"/>
      <c r="H19" s="29"/>
      <c r="I19" s="29"/>
      <c r="J19" s="29"/>
      <c r="K19" s="29"/>
      <c r="L19" s="29"/>
      <c r="M19" s="28"/>
    </row>
    <row r="20" spans="2:13" ht="17.25" thickBot="1" x14ac:dyDescent="0.35">
      <c r="B20" s="137" t="s">
        <v>178</v>
      </c>
      <c r="C20" s="43" t="s">
        <v>6</v>
      </c>
      <c r="D20" s="12">
        <v>1.119</v>
      </c>
    </row>
    <row r="21" spans="2:13" x14ac:dyDescent="0.3">
      <c r="B21" s="137"/>
      <c r="C21" s="42" t="s">
        <v>32</v>
      </c>
      <c r="D21" s="12">
        <f>5.11532*LN(D20)+1</f>
        <v>1.575143200359252</v>
      </c>
    </row>
    <row r="22" spans="2:13" x14ac:dyDescent="0.3">
      <c r="B22" s="138" t="s">
        <v>179</v>
      </c>
      <c r="C22" s="42" t="s">
        <v>6</v>
      </c>
      <c r="D22" s="12">
        <v>1</v>
      </c>
    </row>
    <row r="23" spans="2:13" ht="17.25" thickBot="1" x14ac:dyDescent="0.35">
      <c r="B23" s="139"/>
      <c r="C23" s="41" t="s">
        <v>32</v>
      </c>
      <c r="D23" s="10">
        <v>1</v>
      </c>
    </row>
    <row r="24" spans="2:13" x14ac:dyDescent="0.3">
      <c r="B24" s="2"/>
      <c r="C24" s="2"/>
    </row>
    <row r="25" spans="2:13" ht="17.25" thickBot="1" x14ac:dyDescent="0.35">
      <c r="B25" s="2"/>
      <c r="C25" s="2"/>
    </row>
    <row r="26" spans="2:13" ht="17.25" thickBot="1" x14ac:dyDescent="0.35">
      <c r="B26" s="23" t="s">
        <v>31</v>
      </c>
      <c r="C26" s="40"/>
      <c r="E26" s="18"/>
      <c r="F26" s="18"/>
    </row>
    <row r="27" spans="2:13" ht="18" thickTop="1" thickBot="1" x14ac:dyDescent="0.35">
      <c r="B27" s="39"/>
      <c r="D27" s="38"/>
      <c r="G27" s="30"/>
      <c r="H27" s="37"/>
      <c r="I27" s="37"/>
      <c r="J27" s="37"/>
      <c r="K27" s="37"/>
      <c r="L27" s="37"/>
      <c r="M27" s="28"/>
    </row>
    <row r="28" spans="2:13" x14ac:dyDescent="0.3">
      <c r="B28" s="22" t="s">
        <v>17</v>
      </c>
      <c r="C28" s="15" t="s">
        <v>5</v>
      </c>
      <c r="D28" s="15" t="s">
        <v>29</v>
      </c>
      <c r="E28" s="14" t="s">
        <v>3</v>
      </c>
      <c r="F28" s="2"/>
      <c r="H28" s="22" t="s">
        <v>16</v>
      </c>
      <c r="I28" s="15" t="s">
        <v>5</v>
      </c>
      <c r="J28" s="15" t="s">
        <v>29</v>
      </c>
      <c r="K28" s="15" t="s">
        <v>3</v>
      </c>
      <c r="L28" s="14" t="s">
        <v>12</v>
      </c>
    </row>
    <row r="29" spans="2:13" x14ac:dyDescent="0.3">
      <c r="B29" s="6" t="s">
        <v>5</v>
      </c>
      <c r="C29" s="2">
        <v>1</v>
      </c>
      <c r="D29" s="2">
        <f>1/C30</f>
        <v>0.5</v>
      </c>
      <c r="E29" s="12">
        <f>1/C31</f>
        <v>0.25</v>
      </c>
      <c r="F29" s="2"/>
      <c r="H29" s="6" t="s">
        <v>5</v>
      </c>
      <c r="I29" s="2">
        <f>C29/C32</f>
        <v>0.14285714285714285</v>
      </c>
      <c r="J29" s="2">
        <f>D29/D32</f>
        <v>7.6923076923076927E-2</v>
      </c>
      <c r="K29" s="2">
        <f>E29/E32</f>
        <v>0.17241379310344829</v>
      </c>
      <c r="L29" s="12">
        <f>SUM(I29:K29)/3</f>
        <v>0.13073133762788935</v>
      </c>
      <c r="M29" s="33" t="s">
        <v>41</v>
      </c>
    </row>
    <row r="30" spans="2:13" x14ac:dyDescent="0.3">
      <c r="B30" s="6" t="s">
        <v>29</v>
      </c>
      <c r="C30" s="2">
        <v>2</v>
      </c>
      <c r="D30" s="2">
        <v>1</v>
      </c>
      <c r="E30" s="12">
        <f>1/D31</f>
        <v>0.2</v>
      </c>
      <c r="F30" s="2"/>
      <c r="H30" s="6" t="s">
        <v>29</v>
      </c>
      <c r="I30" s="2">
        <f>C30/C32</f>
        <v>0.2857142857142857</v>
      </c>
      <c r="J30" s="2">
        <f>D30/D32</f>
        <v>0.15384615384615385</v>
      </c>
      <c r="K30" s="2">
        <f>E30/E32</f>
        <v>0.13793103448275862</v>
      </c>
      <c r="L30" s="12">
        <f>SUM(I30:K30)/3</f>
        <v>0.1924971580143994</v>
      </c>
      <c r="M30" s="33" t="s">
        <v>42</v>
      </c>
    </row>
    <row r="31" spans="2:13" x14ac:dyDescent="0.3">
      <c r="B31" s="6" t="s">
        <v>3</v>
      </c>
      <c r="C31" s="2">
        <v>4</v>
      </c>
      <c r="D31" s="2">
        <v>5</v>
      </c>
      <c r="E31" s="12">
        <v>1</v>
      </c>
      <c r="F31" s="2"/>
      <c r="H31" s="6" t="s">
        <v>3</v>
      </c>
      <c r="I31" s="2">
        <f>C31/C32</f>
        <v>0.5714285714285714</v>
      </c>
      <c r="J31" s="2">
        <f>D31/D32</f>
        <v>0.76923076923076927</v>
      </c>
      <c r="K31" s="2">
        <f>E31/E32</f>
        <v>0.68965517241379315</v>
      </c>
      <c r="L31" s="12">
        <f>SUM(I31:K31)/3</f>
        <v>0.67677150435771127</v>
      </c>
      <c r="M31" s="33" t="s">
        <v>40</v>
      </c>
    </row>
    <row r="32" spans="2:13" ht="17.25" thickBot="1" x14ac:dyDescent="0.35">
      <c r="B32" s="4" t="s">
        <v>11</v>
      </c>
      <c r="C32" s="11">
        <f>SUM(C29:C31)</f>
        <v>7</v>
      </c>
      <c r="D32" s="11">
        <f>SUM(D29:D31)</f>
        <v>6.5</v>
      </c>
      <c r="E32" s="10">
        <f>SUM(E29:E31)</f>
        <v>1.45</v>
      </c>
      <c r="F32" s="2"/>
      <c r="H32" s="4" t="s">
        <v>11</v>
      </c>
      <c r="I32" s="11">
        <f>SUM(I29:I31)</f>
        <v>1</v>
      </c>
      <c r="J32" s="11">
        <f>SUM(J29:J31)</f>
        <v>1</v>
      </c>
      <c r="K32" s="11">
        <f>SUM(K29:K31)</f>
        <v>1</v>
      </c>
      <c r="L32" s="10">
        <f>SUM(L29:L31)</f>
        <v>1</v>
      </c>
    </row>
    <row r="33" spans="2:13" ht="17.25" thickBot="1" x14ac:dyDescent="0.35">
      <c r="B33" s="2"/>
      <c r="C33" s="2"/>
      <c r="E33" s="2"/>
      <c r="F33" s="2"/>
      <c r="H33" s="2"/>
      <c r="I33" s="2"/>
      <c r="J33" s="2"/>
      <c r="K33" s="2"/>
      <c r="L33" s="2"/>
    </row>
    <row r="34" spans="2:13" x14ac:dyDescent="0.3">
      <c r="B34" s="22" t="s">
        <v>30</v>
      </c>
      <c r="C34" s="15" t="s">
        <v>5</v>
      </c>
      <c r="D34" s="15" t="s">
        <v>29</v>
      </c>
      <c r="E34" s="15" t="s">
        <v>3</v>
      </c>
      <c r="F34" s="14" t="s">
        <v>25</v>
      </c>
      <c r="H34" s="22" t="s">
        <v>24</v>
      </c>
      <c r="I34" s="14" t="s">
        <v>23</v>
      </c>
      <c r="J34" s="2"/>
      <c r="K34" s="8" t="s">
        <v>22</v>
      </c>
      <c r="L34" s="13">
        <f>(I38-3)/(3-1)</f>
        <v>4.77834882719117E-2</v>
      </c>
    </row>
    <row r="35" spans="2:13" x14ac:dyDescent="0.3">
      <c r="B35" s="6" t="s">
        <v>5</v>
      </c>
      <c r="C35" s="2">
        <f>C29*$L$29</f>
        <v>0.13073133762788935</v>
      </c>
      <c r="D35" s="2">
        <f>D29*$L$30</f>
        <v>9.62485790071997E-2</v>
      </c>
      <c r="E35" s="2">
        <f>E29*$L$31</f>
        <v>0.16919287608942782</v>
      </c>
      <c r="F35" s="12">
        <f>SUM(C35:E35)</f>
        <v>0.39617279272451689</v>
      </c>
      <c r="H35" s="6" t="s">
        <v>5</v>
      </c>
      <c r="I35" s="12">
        <f>F35/L29</f>
        <v>3.0304347826086957</v>
      </c>
      <c r="J35" s="2"/>
      <c r="K35" s="6" t="s">
        <v>21</v>
      </c>
      <c r="L35" s="12">
        <f>L34/L36</f>
        <v>8.2385324606744317E-2</v>
      </c>
    </row>
    <row r="36" spans="2:13" ht="17.25" thickBot="1" x14ac:dyDescent="0.35">
      <c r="B36" s="6" t="s">
        <v>29</v>
      </c>
      <c r="C36" s="2">
        <f>C30*$L$29</f>
        <v>0.26146267525577871</v>
      </c>
      <c r="D36" s="2">
        <f>D30*$L$30</f>
        <v>0.1924971580143994</v>
      </c>
      <c r="E36" s="2">
        <f>E30*$L$31</f>
        <v>0.13535430087154227</v>
      </c>
      <c r="F36" s="12">
        <f>SUM(C36:E36)</f>
        <v>0.58931413414172029</v>
      </c>
      <c r="H36" s="6" t="s">
        <v>29</v>
      </c>
      <c r="I36" s="12">
        <f>F36/L30</f>
        <v>3.0614173228346453</v>
      </c>
      <c r="J36" s="2"/>
      <c r="K36" s="4" t="s">
        <v>20</v>
      </c>
      <c r="L36" s="10">
        <v>0.57999999999999996</v>
      </c>
    </row>
    <row r="37" spans="2:13" ht="17.25" thickBot="1" x14ac:dyDescent="0.35">
      <c r="B37" s="4" t="s">
        <v>3</v>
      </c>
      <c r="C37" s="11">
        <f>C31*$L$29</f>
        <v>0.52292535051155742</v>
      </c>
      <c r="D37" s="11">
        <f>D31*$L$30</f>
        <v>0.96248579007199697</v>
      </c>
      <c r="E37" s="11">
        <f>E31*$L$31</f>
        <v>0.67677150435771127</v>
      </c>
      <c r="F37" s="10">
        <f>SUM(C37:E37)</f>
        <v>2.1621826449412658</v>
      </c>
      <c r="H37" s="6" t="s">
        <v>3</v>
      </c>
      <c r="I37" s="12">
        <f>F37/L31</f>
        <v>3.1948488241881301</v>
      </c>
      <c r="J37" s="2"/>
      <c r="K37" s="2"/>
      <c r="L37" s="2"/>
    </row>
    <row r="38" spans="2:13" ht="17.25" thickBot="1" x14ac:dyDescent="0.35">
      <c r="B38" s="2"/>
      <c r="C38" s="2"/>
      <c r="E38" s="2"/>
      <c r="F38" s="2"/>
      <c r="H38" s="4" t="s">
        <v>19</v>
      </c>
      <c r="I38" s="10">
        <f>AVERAGE(I35:I37)</f>
        <v>3.0955669765438234</v>
      </c>
      <c r="J38" s="2"/>
      <c r="K38" s="2"/>
      <c r="L38" s="2"/>
    </row>
    <row r="39" spans="2:13" x14ac:dyDescent="0.3">
      <c r="B39" s="2"/>
      <c r="C39" s="2"/>
      <c r="E39" s="2"/>
      <c r="F39" s="2"/>
      <c r="H39" s="2"/>
      <c r="I39" s="2"/>
      <c r="J39" s="2"/>
      <c r="K39" s="2"/>
      <c r="L39" s="2"/>
    </row>
    <row r="40" spans="2:13" ht="17.25" thickBot="1" x14ac:dyDescent="0.35">
      <c r="B40" s="2"/>
      <c r="C40" s="2"/>
      <c r="E40" s="2"/>
      <c r="F40" s="2"/>
      <c r="H40" s="2"/>
      <c r="I40" s="2"/>
      <c r="J40" s="2"/>
      <c r="K40" s="2"/>
      <c r="L40" s="2"/>
    </row>
    <row r="41" spans="2:13" ht="17.25" thickBot="1" x14ac:dyDescent="0.35">
      <c r="B41" s="27" t="s">
        <v>28</v>
      </c>
      <c r="C41" s="2"/>
      <c r="D41" s="19"/>
      <c r="E41" s="2"/>
      <c r="F41" s="2"/>
      <c r="H41" s="2"/>
      <c r="I41" s="19"/>
      <c r="J41" s="19"/>
      <c r="K41" s="19"/>
      <c r="L41" s="2"/>
    </row>
    <row r="42" spans="2:13" ht="18" thickTop="1" thickBot="1" x14ac:dyDescent="0.35">
      <c r="B42" s="24"/>
      <c r="C42" s="37"/>
      <c r="E42" s="37"/>
      <c r="F42" s="29"/>
      <c r="G42" s="30"/>
      <c r="H42" s="37"/>
      <c r="L42" s="37"/>
      <c r="M42" s="28"/>
    </row>
    <row r="43" spans="2:13" x14ac:dyDescent="0.3">
      <c r="B43" s="22" t="s">
        <v>17</v>
      </c>
      <c r="C43" s="36" t="s">
        <v>2</v>
      </c>
      <c r="D43" s="26" t="s">
        <v>1</v>
      </c>
      <c r="E43" s="34" t="s">
        <v>0</v>
      </c>
      <c r="F43" s="32"/>
      <c r="G43" s="32"/>
      <c r="H43" s="35" t="s">
        <v>13</v>
      </c>
      <c r="I43" s="26" t="s">
        <v>26</v>
      </c>
      <c r="J43" s="26" t="s">
        <v>1</v>
      </c>
      <c r="K43" s="26" t="s">
        <v>0</v>
      </c>
      <c r="L43" s="34" t="s">
        <v>12</v>
      </c>
    </row>
    <row r="44" spans="2:13" x14ac:dyDescent="0.3">
      <c r="B44" s="6" t="s">
        <v>2</v>
      </c>
      <c r="C44" s="2">
        <v>1</v>
      </c>
      <c r="D44" s="2">
        <f>1/C45</f>
        <v>0.33333333333333331</v>
      </c>
      <c r="E44" s="12">
        <v>0.13</v>
      </c>
      <c r="F44" s="2"/>
      <c r="H44" s="6" t="s">
        <v>2</v>
      </c>
      <c r="I44" s="2">
        <f>C44/C47</f>
        <v>0.1</v>
      </c>
      <c r="J44" s="2">
        <f>D44/D47</f>
        <v>5.2631578947368418E-2</v>
      </c>
      <c r="K44" s="2">
        <f>E44/E47</f>
        <v>9.4202898550724654E-2</v>
      </c>
      <c r="L44" s="12">
        <f>SUM(I44:K44)/3</f>
        <v>8.2278159166031026E-2</v>
      </c>
      <c r="M44" s="33" t="s">
        <v>42</v>
      </c>
    </row>
    <row r="45" spans="2:13" x14ac:dyDescent="0.3">
      <c r="B45" s="6" t="s">
        <v>1</v>
      </c>
      <c r="C45" s="2">
        <v>3</v>
      </c>
      <c r="D45" s="2">
        <v>1</v>
      </c>
      <c r="E45" s="12">
        <v>0.25</v>
      </c>
      <c r="F45" s="2"/>
      <c r="H45" s="6" t="s">
        <v>1</v>
      </c>
      <c r="I45" s="2">
        <f>C45/C47</f>
        <v>0.3</v>
      </c>
      <c r="J45" s="2">
        <f>D45/D47</f>
        <v>0.15789473684210528</v>
      </c>
      <c r="K45" s="2">
        <f>E45/E47</f>
        <v>0.1811594202898551</v>
      </c>
      <c r="L45" s="12">
        <f>SUM(I45:K45)/3</f>
        <v>0.21301805237732011</v>
      </c>
      <c r="M45" s="33" t="s">
        <v>41</v>
      </c>
    </row>
    <row r="46" spans="2:13" x14ac:dyDescent="0.3">
      <c r="B46" s="6" t="s">
        <v>0</v>
      </c>
      <c r="C46" s="2">
        <v>6</v>
      </c>
      <c r="D46" s="2">
        <v>5</v>
      </c>
      <c r="E46" s="12">
        <v>1</v>
      </c>
      <c r="F46" s="2"/>
      <c r="H46" s="6" t="s">
        <v>0</v>
      </c>
      <c r="I46" s="2">
        <f>C46/C47</f>
        <v>0.6</v>
      </c>
      <c r="J46" s="2">
        <f>D46/D47</f>
        <v>0.78947368421052633</v>
      </c>
      <c r="K46" s="2">
        <f>E46/E47</f>
        <v>0.7246376811594204</v>
      </c>
      <c r="L46" s="12">
        <f>SUM(I46:K46)/3</f>
        <v>0.70470378845664883</v>
      </c>
      <c r="M46" s="33" t="s">
        <v>40</v>
      </c>
    </row>
    <row r="47" spans="2:13" ht="17.25" thickBot="1" x14ac:dyDescent="0.35">
      <c r="B47" s="4" t="s">
        <v>11</v>
      </c>
      <c r="C47" s="11">
        <f>SUM(C44:C46)</f>
        <v>10</v>
      </c>
      <c r="D47" s="11">
        <f>SUM(D44:D46)</f>
        <v>6.333333333333333</v>
      </c>
      <c r="E47" s="10">
        <f>SUM(E44:E46)</f>
        <v>1.38</v>
      </c>
      <c r="F47" s="2"/>
      <c r="H47" s="4" t="s">
        <v>11</v>
      </c>
      <c r="I47" s="11">
        <f>SUM(Seyeon!I44:I46)</f>
        <v>1</v>
      </c>
      <c r="J47" s="11">
        <f>SUM(J44:J46)</f>
        <v>1</v>
      </c>
      <c r="K47" s="11">
        <f>SUM(K44:K46)</f>
        <v>1.0000000000000002</v>
      </c>
      <c r="L47" s="10">
        <f>SUM(L44:L46)</f>
        <v>1</v>
      </c>
    </row>
    <row r="48" spans="2:13" ht="17.25" thickBot="1" x14ac:dyDescent="0.35">
      <c r="B48" s="24"/>
      <c r="C48" s="2"/>
      <c r="E48" s="2"/>
      <c r="F48" s="2"/>
      <c r="H48" s="24"/>
      <c r="I48" s="2"/>
      <c r="J48" s="2"/>
      <c r="K48" s="2"/>
      <c r="L48" s="2"/>
    </row>
    <row r="49" spans="1:13" x14ac:dyDescent="0.3">
      <c r="B49" s="22" t="s">
        <v>27</v>
      </c>
      <c r="C49" s="26" t="s">
        <v>26</v>
      </c>
      <c r="D49" s="26" t="s">
        <v>1</v>
      </c>
      <c r="E49" s="26" t="s">
        <v>0</v>
      </c>
      <c r="F49" s="25" t="s">
        <v>25</v>
      </c>
      <c r="G49" s="32"/>
      <c r="H49" s="22" t="s">
        <v>24</v>
      </c>
      <c r="I49" s="25" t="s">
        <v>23</v>
      </c>
      <c r="J49" s="32"/>
      <c r="K49" s="31" t="s">
        <v>22</v>
      </c>
      <c r="L49" s="13">
        <f>(I53-3)/(3-1)</f>
        <v>2.9027901010783452E-2</v>
      </c>
    </row>
    <row r="50" spans="1:13" x14ac:dyDescent="0.3">
      <c r="B50" s="6" t="s">
        <v>2</v>
      </c>
      <c r="C50" s="2">
        <f>C44*$L$44</f>
        <v>8.2278159166031026E-2</v>
      </c>
      <c r="D50" s="2">
        <f>D44*$L$45</f>
        <v>7.1006017459106702E-2</v>
      </c>
      <c r="E50" s="2">
        <f>E44*$L$46</f>
        <v>9.1611492499364344E-2</v>
      </c>
      <c r="F50" s="12">
        <f>SUM(C50:E50)</f>
        <v>0.24489566912450206</v>
      </c>
      <c r="H50" s="6" t="s">
        <v>2</v>
      </c>
      <c r="I50" s="12">
        <f>F50/L44</f>
        <v>2.9764359291306133</v>
      </c>
      <c r="J50" s="2"/>
      <c r="K50" s="6" t="s">
        <v>21</v>
      </c>
      <c r="L50" s="12">
        <f>L49/L51</f>
        <v>5.0048105191005957E-2</v>
      </c>
    </row>
    <row r="51" spans="1:13" ht="17.25" thickBot="1" x14ac:dyDescent="0.35">
      <c r="B51" s="6" t="s">
        <v>1</v>
      </c>
      <c r="C51" s="2">
        <f>C45*$L$44</f>
        <v>0.24683447749809306</v>
      </c>
      <c r="D51" s="2">
        <f>D45*$L$45</f>
        <v>0.21301805237732011</v>
      </c>
      <c r="E51" s="2">
        <f>E45*$L$46</f>
        <v>0.17617594711416221</v>
      </c>
      <c r="F51" s="12">
        <f>SUM(C51:E51)</f>
        <v>0.63602847698957532</v>
      </c>
      <c r="H51" s="6" t="s">
        <v>1</v>
      </c>
      <c r="I51" s="12">
        <f>F51/L45</f>
        <v>2.9857961327285745</v>
      </c>
      <c r="J51" s="2"/>
      <c r="K51" s="4" t="s">
        <v>20</v>
      </c>
      <c r="L51" s="10">
        <v>0.57999999999999996</v>
      </c>
    </row>
    <row r="52" spans="1:13" ht="17.25" thickBot="1" x14ac:dyDescent="0.35">
      <c r="B52" s="4" t="s">
        <v>0</v>
      </c>
      <c r="C52" s="11">
        <f>C46*$L$44</f>
        <v>0.49366895499618613</v>
      </c>
      <c r="D52" s="11">
        <f>D46*$L$45</f>
        <v>1.0650902618866005</v>
      </c>
      <c r="E52" s="11">
        <f>E46*$L$46</f>
        <v>0.70470378845664883</v>
      </c>
      <c r="F52" s="10">
        <f>SUM(C52:E52)</f>
        <v>2.2634630053394353</v>
      </c>
      <c r="H52" s="6" t="s">
        <v>0</v>
      </c>
      <c r="I52" s="12">
        <f>F52/L46</f>
        <v>3.211935344205513</v>
      </c>
      <c r="J52" s="2"/>
      <c r="K52" s="2"/>
      <c r="L52" s="2"/>
    </row>
    <row r="53" spans="1:13" ht="17.25" thickBot="1" x14ac:dyDescent="0.35">
      <c r="B53" s="2"/>
      <c r="C53" s="2"/>
      <c r="E53" s="2"/>
      <c r="F53" s="2"/>
      <c r="H53" s="4" t="s">
        <v>19</v>
      </c>
      <c r="I53" s="10">
        <f>AVERAGE(I50:I52)</f>
        <v>3.0580558020215669</v>
      </c>
      <c r="J53" s="2"/>
      <c r="K53" s="2"/>
      <c r="L53" s="2"/>
    </row>
    <row r="54" spans="1:13" x14ac:dyDescent="0.3">
      <c r="B54" s="2"/>
      <c r="C54" s="2"/>
      <c r="E54" s="2"/>
      <c r="F54" s="2"/>
      <c r="H54" s="2"/>
      <c r="I54" s="2"/>
      <c r="J54" s="2"/>
      <c r="K54" s="2"/>
      <c r="L54" s="2"/>
    </row>
    <row r="55" spans="1:13" x14ac:dyDescent="0.3">
      <c r="B55" s="2"/>
      <c r="C55" s="2"/>
      <c r="E55" s="2"/>
      <c r="F55" s="2"/>
      <c r="H55" s="2"/>
      <c r="I55" s="2"/>
      <c r="J55" s="2"/>
      <c r="K55" s="2"/>
      <c r="L55" s="2"/>
    </row>
    <row r="56" spans="1:13" ht="17.25" thickBot="1" x14ac:dyDescent="0.35">
      <c r="D56" s="19"/>
    </row>
    <row r="57" spans="1:13" ht="18" thickTop="1" thickBot="1" x14ac:dyDescent="0.35">
      <c r="B57" s="29"/>
      <c r="C57" s="29"/>
      <c r="E57" s="29"/>
      <c r="F57" s="29"/>
      <c r="G57" s="30"/>
      <c r="H57" s="29"/>
      <c r="I57" s="29"/>
      <c r="J57" s="29"/>
      <c r="K57" s="29"/>
      <c r="L57" s="29"/>
      <c r="M57" s="28"/>
    </row>
    <row r="58" spans="1:13" ht="17.25" thickBot="1" x14ac:dyDescent="0.35">
      <c r="B58" s="27" t="s">
        <v>18</v>
      </c>
      <c r="C58" s="2"/>
      <c r="E58" s="2"/>
    </row>
    <row r="59" spans="1:13" ht="17.25" thickBot="1" x14ac:dyDescent="0.35">
      <c r="B59" s="24"/>
      <c r="C59" s="2"/>
      <c r="E59" s="2"/>
    </row>
    <row r="60" spans="1:13" x14ac:dyDescent="0.3">
      <c r="B60" s="22" t="s">
        <v>17</v>
      </c>
      <c r="C60" s="26" t="s">
        <v>177</v>
      </c>
      <c r="D60" s="26" t="s">
        <v>176</v>
      </c>
      <c r="E60" s="25" t="s">
        <v>11</v>
      </c>
      <c r="G60" s="22" t="s">
        <v>16</v>
      </c>
      <c r="H60" s="15" t="s">
        <v>8</v>
      </c>
      <c r="I60" s="26" t="s">
        <v>175</v>
      </c>
      <c r="J60" s="25" t="s">
        <v>11</v>
      </c>
    </row>
    <row r="61" spans="1:13" ht="17.25" thickBot="1" x14ac:dyDescent="0.35">
      <c r="A61" s="20"/>
      <c r="B61" s="4" t="s">
        <v>15</v>
      </c>
      <c r="C61" s="11">
        <v>1</v>
      </c>
      <c r="D61" s="11">
        <f>D21</f>
        <v>1.575143200359252</v>
      </c>
      <c r="E61" s="10">
        <f>SUM(C61:D61)</f>
        <v>2.575143200359252</v>
      </c>
      <c r="G61" s="4" t="s">
        <v>15</v>
      </c>
      <c r="H61" s="11">
        <f>C61/E61</f>
        <v>0.38832791895242658</v>
      </c>
      <c r="I61" s="11">
        <f>D61/E61</f>
        <v>0.61167208104757342</v>
      </c>
      <c r="J61" s="10">
        <f>SUM(H61:I61)</f>
        <v>1</v>
      </c>
    </row>
    <row r="62" spans="1:13" ht="17.25" thickBot="1" x14ac:dyDescent="0.35">
      <c r="G62" s="24"/>
    </row>
    <row r="63" spans="1:13" ht="17.25" thickBot="1" x14ac:dyDescent="0.35">
      <c r="B63" s="23" t="s">
        <v>5</v>
      </c>
      <c r="C63" s="2"/>
    </row>
    <row r="64" spans="1:13" x14ac:dyDescent="0.3">
      <c r="B64" s="22" t="s">
        <v>14</v>
      </c>
      <c r="C64" s="15" t="s">
        <v>8</v>
      </c>
      <c r="D64" s="25" t="s">
        <v>175</v>
      </c>
      <c r="F64" s="22" t="s">
        <v>13</v>
      </c>
      <c r="G64" s="15" t="s">
        <v>8</v>
      </c>
      <c r="H64" s="26" t="s">
        <v>175</v>
      </c>
      <c r="I64" s="14" t="s">
        <v>12</v>
      </c>
    </row>
    <row r="65" spans="2:11" x14ac:dyDescent="0.3">
      <c r="B65" s="6" t="s">
        <v>8</v>
      </c>
      <c r="C65" s="2">
        <v>1</v>
      </c>
      <c r="D65" s="12">
        <f>1/2</f>
        <v>0.5</v>
      </c>
      <c r="F65" s="6" t="s">
        <v>8</v>
      </c>
      <c r="G65" s="2">
        <f>C65/$C$67</f>
        <v>0.33333333333333331</v>
      </c>
      <c r="H65" s="2">
        <f>D65/$D$67</f>
        <v>0.33333333333333331</v>
      </c>
      <c r="I65" s="12">
        <f>SUM(G65:H65)/2</f>
        <v>0.33333333333333331</v>
      </c>
    </row>
    <row r="66" spans="2:11" x14ac:dyDescent="0.3">
      <c r="B66" s="46" t="s">
        <v>175</v>
      </c>
      <c r="C66" s="2">
        <f>1/D65</f>
        <v>2</v>
      </c>
      <c r="D66" s="12">
        <v>1</v>
      </c>
      <c r="F66" s="46" t="s">
        <v>175</v>
      </c>
      <c r="G66" s="2">
        <f>C66/$C$67</f>
        <v>0.66666666666666663</v>
      </c>
      <c r="H66" s="2">
        <f>D66/$D$67</f>
        <v>0.66666666666666663</v>
      </c>
      <c r="I66" s="12">
        <f>SUM(G66:H66)/2</f>
        <v>0.66666666666666663</v>
      </c>
    </row>
    <row r="67" spans="2:11" ht="17.25" thickBot="1" x14ac:dyDescent="0.35">
      <c r="B67" s="4" t="s">
        <v>11</v>
      </c>
      <c r="C67" s="11">
        <f>SUM(C65:C66)</f>
        <v>3</v>
      </c>
      <c r="D67" s="10">
        <f>SUM(D65:D66)</f>
        <v>1.5</v>
      </c>
      <c r="F67" s="4" t="s">
        <v>11</v>
      </c>
      <c r="G67" s="11">
        <f>SUM(G65:G66)</f>
        <v>1</v>
      </c>
      <c r="H67" s="11">
        <f>SUM(H65:H66)</f>
        <v>1</v>
      </c>
      <c r="I67" s="10">
        <f>SUM(I65:I66)</f>
        <v>1</v>
      </c>
    </row>
    <row r="68" spans="2:11" ht="17.25" thickBot="1" x14ac:dyDescent="0.35">
      <c r="B68" s="24"/>
      <c r="C68" s="2"/>
      <c r="I68" s="2"/>
    </row>
    <row r="69" spans="2:11" ht="17.25" thickBot="1" x14ac:dyDescent="0.35">
      <c r="B69" s="23" t="s">
        <v>4</v>
      </c>
      <c r="C69" s="2"/>
      <c r="I69" s="2"/>
    </row>
    <row r="70" spans="2:11" x14ac:dyDescent="0.3">
      <c r="B70" s="22" t="s">
        <v>14</v>
      </c>
      <c r="C70" s="15" t="s">
        <v>8</v>
      </c>
      <c r="D70" s="25" t="s">
        <v>175</v>
      </c>
      <c r="F70" s="22" t="s">
        <v>13</v>
      </c>
      <c r="G70" s="15" t="s">
        <v>8</v>
      </c>
      <c r="H70" s="26" t="s">
        <v>175</v>
      </c>
      <c r="I70" s="14" t="s">
        <v>12</v>
      </c>
    </row>
    <row r="71" spans="2:11" x14ac:dyDescent="0.3">
      <c r="B71" s="6" t="s">
        <v>8</v>
      </c>
      <c r="C71" s="2">
        <v>1</v>
      </c>
      <c r="D71" s="12">
        <f>1/9</f>
        <v>0.1111111111111111</v>
      </c>
      <c r="F71" s="6" t="s">
        <v>8</v>
      </c>
      <c r="G71" s="2">
        <f>C71/$C$73</f>
        <v>0.1</v>
      </c>
      <c r="H71" s="2">
        <f>D71/$D$73</f>
        <v>9.9999999999999992E-2</v>
      </c>
      <c r="I71" s="12">
        <f>SUM(G71:H71)/2</f>
        <v>0.1</v>
      </c>
    </row>
    <row r="72" spans="2:11" x14ac:dyDescent="0.3">
      <c r="B72" s="46" t="s">
        <v>175</v>
      </c>
      <c r="C72" s="2">
        <f>1/D71</f>
        <v>9</v>
      </c>
      <c r="D72" s="12">
        <v>1</v>
      </c>
      <c r="F72" s="46" t="s">
        <v>175</v>
      </c>
      <c r="G72" s="2">
        <f>C72/$C$73</f>
        <v>0.9</v>
      </c>
      <c r="H72" s="2">
        <f>D72/$D$73</f>
        <v>0.89999999999999991</v>
      </c>
      <c r="I72" s="12">
        <f>SUM(G72:H72)/2</f>
        <v>0.89999999999999991</v>
      </c>
    </row>
    <row r="73" spans="2:11" ht="17.25" thickBot="1" x14ac:dyDescent="0.35">
      <c r="B73" s="4" t="s">
        <v>11</v>
      </c>
      <c r="C73" s="11">
        <f>SUM(C71:C72)</f>
        <v>10</v>
      </c>
      <c r="D73" s="10">
        <f>SUM(D71:D72)</f>
        <v>1.1111111111111112</v>
      </c>
      <c r="F73" s="4" t="s">
        <v>11</v>
      </c>
      <c r="G73" s="11">
        <f>SUM(G71:G72)</f>
        <v>1</v>
      </c>
      <c r="H73" s="11">
        <f>SUM(H71:H72)</f>
        <v>0.99999999999999989</v>
      </c>
      <c r="I73" s="10">
        <f>SUM(I71:I72)</f>
        <v>0.99999999999999989</v>
      </c>
    </row>
    <row r="74" spans="2:11" ht="17.25" thickBot="1" x14ac:dyDescent="0.35">
      <c r="B74" s="24"/>
      <c r="C74" s="2"/>
      <c r="I74" s="2"/>
    </row>
    <row r="75" spans="2:11" ht="17.25" thickBot="1" x14ac:dyDescent="0.35">
      <c r="B75" s="23" t="s">
        <v>3</v>
      </c>
      <c r="C75" s="2"/>
      <c r="I75" s="2"/>
    </row>
    <row r="76" spans="2:11" x14ac:dyDescent="0.3">
      <c r="B76" s="22" t="s">
        <v>14</v>
      </c>
      <c r="C76" s="15" t="s">
        <v>8</v>
      </c>
      <c r="D76" s="25" t="s">
        <v>175</v>
      </c>
      <c r="E76" s="20"/>
      <c r="F76" s="22" t="s">
        <v>13</v>
      </c>
      <c r="G76" s="15" t="s">
        <v>8</v>
      </c>
      <c r="H76" s="26" t="s">
        <v>175</v>
      </c>
      <c r="I76" s="14" t="s">
        <v>12</v>
      </c>
      <c r="J76" s="20"/>
      <c r="K76" s="20"/>
    </row>
    <row r="77" spans="2:11" x14ac:dyDescent="0.3">
      <c r="B77" s="6" t="s">
        <v>8</v>
      </c>
      <c r="C77" s="2">
        <v>1</v>
      </c>
      <c r="D77" s="12">
        <f>1/7</f>
        <v>0.14285714285714285</v>
      </c>
      <c r="F77" s="6" t="s">
        <v>8</v>
      </c>
      <c r="G77" s="2">
        <f>C77/$C$79</f>
        <v>0.125</v>
      </c>
      <c r="H77" s="2">
        <f>D77/$D$79</f>
        <v>0.125</v>
      </c>
      <c r="I77" s="12">
        <f>SUM(G77:H77)/2</f>
        <v>0.125</v>
      </c>
    </row>
    <row r="78" spans="2:11" x14ac:dyDescent="0.3">
      <c r="B78" s="46" t="s">
        <v>175</v>
      </c>
      <c r="C78" s="2">
        <f>1/D77</f>
        <v>7</v>
      </c>
      <c r="D78" s="12">
        <v>1</v>
      </c>
      <c r="F78" s="46" t="s">
        <v>175</v>
      </c>
      <c r="G78" s="2">
        <f>C78/$C$79</f>
        <v>0.875</v>
      </c>
      <c r="H78" s="2">
        <f>D78/$D$79</f>
        <v>0.875</v>
      </c>
      <c r="I78" s="12">
        <f>SUM(G78:H78)/2</f>
        <v>0.875</v>
      </c>
    </row>
    <row r="79" spans="2:11" ht="17.25" thickBot="1" x14ac:dyDescent="0.35">
      <c r="B79" s="4" t="s">
        <v>11</v>
      </c>
      <c r="C79" s="11">
        <f>SUM(C77:C78)</f>
        <v>8</v>
      </c>
      <c r="D79" s="10">
        <f>SUM(D77:D78)</f>
        <v>1.1428571428571428</v>
      </c>
      <c r="F79" s="4" t="s">
        <v>11</v>
      </c>
      <c r="G79" s="11">
        <f>SUM(G77:G78)</f>
        <v>1</v>
      </c>
      <c r="H79" s="11">
        <f>SUM(H77:H78)</f>
        <v>1</v>
      </c>
      <c r="I79" s="10">
        <f>SUM(I77:I78)</f>
        <v>1</v>
      </c>
    </row>
    <row r="80" spans="2:11" ht="17.25" thickBot="1" x14ac:dyDescent="0.35">
      <c r="B80" s="24"/>
      <c r="C80" s="2"/>
      <c r="I80" s="2"/>
    </row>
    <row r="81" spans="1:14" ht="17.25" thickBot="1" x14ac:dyDescent="0.35">
      <c r="B81" s="23" t="s">
        <v>2</v>
      </c>
      <c r="C81" s="2"/>
      <c r="I81" s="2"/>
    </row>
    <row r="82" spans="1:14" x14ac:dyDescent="0.3">
      <c r="B82" s="22" t="s">
        <v>14</v>
      </c>
      <c r="C82" s="15" t="s">
        <v>8</v>
      </c>
      <c r="D82" s="25" t="s">
        <v>175</v>
      </c>
      <c r="F82" s="22" t="s">
        <v>13</v>
      </c>
      <c r="G82" s="15" t="s">
        <v>8</v>
      </c>
      <c r="H82" s="26" t="s">
        <v>175</v>
      </c>
      <c r="I82" s="14" t="s">
        <v>12</v>
      </c>
    </row>
    <row r="83" spans="1:14" s="20" customFormat="1" x14ac:dyDescent="0.3">
      <c r="A83"/>
      <c r="B83" s="6" t="s">
        <v>8</v>
      </c>
      <c r="C83" s="2">
        <v>1</v>
      </c>
      <c r="D83" s="12">
        <f>1/9</f>
        <v>0.1111111111111111</v>
      </c>
      <c r="E83"/>
      <c r="F83" s="6" t="s">
        <v>8</v>
      </c>
      <c r="G83" s="2">
        <f>C83/$C$85</f>
        <v>0.1</v>
      </c>
      <c r="H83" s="2">
        <f>D83/$D$85</f>
        <v>9.9999999999999992E-2</v>
      </c>
      <c r="I83" s="12">
        <f>SUM(G83:H83)/2</f>
        <v>0.1</v>
      </c>
      <c r="J83"/>
      <c r="K83"/>
      <c r="L83"/>
      <c r="M83" s="1"/>
      <c r="N83"/>
    </row>
    <row r="84" spans="1:14" x14ac:dyDescent="0.3">
      <c r="B84" s="46" t="s">
        <v>175</v>
      </c>
      <c r="C84" s="2">
        <f>1/D83</f>
        <v>9</v>
      </c>
      <c r="D84" s="12">
        <v>1</v>
      </c>
      <c r="F84" s="46" t="s">
        <v>175</v>
      </c>
      <c r="G84" s="2">
        <f>C84/$C$85</f>
        <v>0.9</v>
      </c>
      <c r="H84" s="2">
        <f>D84/$D$85</f>
        <v>0.89999999999999991</v>
      </c>
      <c r="I84" s="12">
        <f>SUM(G84:H84)/2</f>
        <v>0.89999999999999991</v>
      </c>
    </row>
    <row r="85" spans="1:14" ht="17.25" thickBot="1" x14ac:dyDescent="0.35">
      <c r="B85" s="4" t="s">
        <v>11</v>
      </c>
      <c r="C85" s="11">
        <f>SUM(C83:C84)</f>
        <v>10</v>
      </c>
      <c r="D85" s="10">
        <f>SUM(D83:D84)</f>
        <v>1.1111111111111112</v>
      </c>
      <c r="F85" s="4" t="s">
        <v>11</v>
      </c>
      <c r="G85" s="11">
        <f>SUM(G83:G84)</f>
        <v>1</v>
      </c>
      <c r="H85" s="11">
        <f>SUM(H83:H84)</f>
        <v>0.99999999999999989</v>
      </c>
      <c r="I85" s="10">
        <f>SUM(I83:I84)</f>
        <v>0.99999999999999989</v>
      </c>
    </row>
    <row r="86" spans="1:14" ht="17.25" thickBot="1" x14ac:dyDescent="0.35">
      <c r="B86" s="24"/>
      <c r="C86" s="2"/>
      <c r="I86" s="2"/>
    </row>
    <row r="87" spans="1:14" ht="17.25" thickBot="1" x14ac:dyDescent="0.35">
      <c r="B87" s="23" t="s">
        <v>1</v>
      </c>
      <c r="C87" s="2"/>
      <c r="I87" s="2"/>
    </row>
    <row r="88" spans="1:14" x14ac:dyDescent="0.3">
      <c r="B88" s="22" t="s">
        <v>14</v>
      </c>
      <c r="C88" s="15" t="s">
        <v>8</v>
      </c>
      <c r="D88" s="25" t="s">
        <v>175</v>
      </c>
      <c r="F88" s="22" t="s">
        <v>13</v>
      </c>
      <c r="G88" s="15" t="s">
        <v>8</v>
      </c>
      <c r="H88" s="26" t="s">
        <v>175</v>
      </c>
      <c r="I88" s="14" t="s">
        <v>12</v>
      </c>
    </row>
    <row r="89" spans="1:14" x14ac:dyDescent="0.3">
      <c r="B89" s="6" t="s">
        <v>8</v>
      </c>
      <c r="C89" s="2">
        <v>1</v>
      </c>
      <c r="D89" s="12">
        <f>1/6</f>
        <v>0.16666666666666666</v>
      </c>
      <c r="F89" s="6" t="s">
        <v>8</v>
      </c>
      <c r="G89" s="2">
        <f>C89/$C$91</f>
        <v>0.14285714285714285</v>
      </c>
      <c r="H89" s="2">
        <f>D89/$D$91</f>
        <v>0.14285714285714285</v>
      </c>
      <c r="I89" s="12">
        <f>SUM(G89:H89)/2</f>
        <v>0.14285714285714285</v>
      </c>
    </row>
    <row r="90" spans="1:14" x14ac:dyDescent="0.3">
      <c r="B90" s="46" t="s">
        <v>175</v>
      </c>
      <c r="C90" s="2">
        <f>1/D89</f>
        <v>6</v>
      </c>
      <c r="D90" s="12">
        <v>1</v>
      </c>
      <c r="F90" s="46" t="s">
        <v>175</v>
      </c>
      <c r="G90" s="2">
        <f>C90/$C$91</f>
        <v>0.8571428571428571</v>
      </c>
      <c r="H90" s="2">
        <f>D90/$D$91</f>
        <v>0.8571428571428571</v>
      </c>
      <c r="I90" s="12">
        <f>SUM(G90:H90)/2</f>
        <v>0.8571428571428571</v>
      </c>
    </row>
    <row r="91" spans="1:14" ht="17.25" thickBot="1" x14ac:dyDescent="0.35">
      <c r="B91" s="4" t="s">
        <v>11</v>
      </c>
      <c r="C91" s="11">
        <f>SUM(C89:C90)</f>
        <v>7</v>
      </c>
      <c r="D91" s="10">
        <f>SUM(D89:D90)</f>
        <v>1.1666666666666667</v>
      </c>
      <c r="F91" s="4" t="s">
        <v>11</v>
      </c>
      <c r="G91" s="11">
        <f>SUM(G89:G90)</f>
        <v>1</v>
      </c>
      <c r="H91" s="11">
        <f>SUM(H89:H90)</f>
        <v>1</v>
      </c>
      <c r="I91" s="10">
        <f>SUM(I89:I90)</f>
        <v>1</v>
      </c>
    </row>
    <row r="92" spans="1:14" ht="17.25" thickBot="1" x14ac:dyDescent="0.35">
      <c r="B92" s="24"/>
      <c r="C92" s="2"/>
      <c r="I92" s="2"/>
    </row>
    <row r="93" spans="1:14" ht="17.25" thickBot="1" x14ac:dyDescent="0.35">
      <c r="B93" s="23" t="s">
        <v>0</v>
      </c>
      <c r="C93" s="2"/>
      <c r="I93" s="2"/>
    </row>
    <row r="94" spans="1:14" x14ac:dyDescent="0.3">
      <c r="B94" s="22" t="s">
        <v>14</v>
      </c>
      <c r="C94" s="15" t="s">
        <v>8</v>
      </c>
      <c r="D94" s="25" t="s">
        <v>175</v>
      </c>
      <c r="F94" s="22" t="s">
        <v>13</v>
      </c>
      <c r="G94" s="15" t="s">
        <v>8</v>
      </c>
      <c r="H94" s="26" t="s">
        <v>175</v>
      </c>
      <c r="I94" s="14" t="s">
        <v>12</v>
      </c>
    </row>
    <row r="95" spans="1:14" x14ac:dyDescent="0.3">
      <c r="B95" s="6" t="s">
        <v>8</v>
      </c>
      <c r="C95" s="2">
        <v>1</v>
      </c>
      <c r="D95" s="12">
        <f>1/2</f>
        <v>0.5</v>
      </c>
      <c r="F95" s="6" t="s">
        <v>8</v>
      </c>
      <c r="G95" s="2">
        <f>C95/$C$97</f>
        <v>0.33333333333333331</v>
      </c>
      <c r="H95" s="2">
        <f>D95/$D$97</f>
        <v>0.33333333333333331</v>
      </c>
      <c r="I95" s="12">
        <f>SUM(G95:H95)/2</f>
        <v>0.33333333333333331</v>
      </c>
    </row>
    <row r="96" spans="1:14" x14ac:dyDescent="0.3">
      <c r="B96" s="46" t="s">
        <v>175</v>
      </c>
      <c r="C96" s="2">
        <f>1/D95</f>
        <v>2</v>
      </c>
      <c r="D96" s="12">
        <v>1</v>
      </c>
      <c r="F96" s="46" t="s">
        <v>175</v>
      </c>
      <c r="G96" s="2">
        <f>C96/$C$97</f>
        <v>0.66666666666666663</v>
      </c>
      <c r="H96" s="2">
        <f>D96/$D$97</f>
        <v>0.66666666666666663</v>
      </c>
      <c r="I96" s="12">
        <f>SUM(G96:H96)/2</f>
        <v>0.66666666666666663</v>
      </c>
    </row>
    <row r="97" spans="2:14" ht="17.25" thickBot="1" x14ac:dyDescent="0.35">
      <c r="B97" s="4" t="s">
        <v>11</v>
      </c>
      <c r="C97" s="11">
        <f>SUM(C95:C96)</f>
        <v>3</v>
      </c>
      <c r="D97" s="10">
        <f>SUM(D95:D96)</f>
        <v>1.5</v>
      </c>
      <c r="F97" s="4" t="s">
        <v>11</v>
      </c>
      <c r="G97" s="11">
        <f>SUM(G95:G96)</f>
        <v>1</v>
      </c>
      <c r="H97" s="11">
        <f>SUM(H95:H96)</f>
        <v>1</v>
      </c>
      <c r="I97" s="10">
        <f>SUM(I95:I96)</f>
        <v>1</v>
      </c>
    </row>
    <row r="98" spans="2:14" x14ac:dyDescent="0.3">
      <c r="C98" s="2"/>
      <c r="I98" s="2"/>
      <c r="L98" s="20"/>
      <c r="M98" s="21"/>
      <c r="N98" s="20"/>
    </row>
    <row r="99" spans="2:14" ht="17.25" thickBot="1" x14ac:dyDescent="0.35">
      <c r="B99" s="18"/>
      <c r="C99" s="18"/>
      <c r="D99" s="19"/>
      <c r="E99" s="18"/>
      <c r="F99" s="18"/>
      <c r="G99" s="19"/>
      <c r="H99" s="18"/>
      <c r="I99" s="18"/>
      <c r="J99" s="18"/>
      <c r="K99" s="18"/>
      <c r="L99" s="18"/>
      <c r="M99" s="17"/>
    </row>
    <row r="101" spans="2:14" ht="17.25" thickBot="1" x14ac:dyDescent="0.35">
      <c r="B101" s="9" t="s">
        <v>10</v>
      </c>
      <c r="F101" s="9" t="s">
        <v>9</v>
      </c>
    </row>
    <row r="102" spans="2:14" ht="17.25" thickBot="1" x14ac:dyDescent="0.35">
      <c r="B102" s="16"/>
      <c r="C102" s="15" t="s">
        <v>38</v>
      </c>
      <c r="D102" s="14" t="s">
        <v>176</v>
      </c>
    </row>
    <row r="103" spans="2:14" x14ac:dyDescent="0.3">
      <c r="B103" s="6" t="s">
        <v>6</v>
      </c>
      <c r="C103" s="2">
        <f>H61</f>
        <v>0.38832791895242658</v>
      </c>
      <c r="D103" s="12">
        <f>I61</f>
        <v>0.61167208104757342</v>
      </c>
      <c r="F103" s="8" t="s">
        <v>8</v>
      </c>
      <c r="G103" s="13">
        <f>C103*C113+C104*C114+C105*C115+C106*C116+C107*C117+C108*C118+C109*C119</f>
        <v>0.28949850250263287</v>
      </c>
    </row>
    <row r="104" spans="2:14" ht="17.25" thickBot="1" x14ac:dyDescent="0.35">
      <c r="B104" s="6" t="s">
        <v>5</v>
      </c>
      <c r="C104" s="2">
        <f>I65</f>
        <v>0.33333333333333331</v>
      </c>
      <c r="D104" s="12">
        <f>I66</f>
        <v>0.66666666666666663</v>
      </c>
      <c r="F104" s="4" t="s">
        <v>176</v>
      </c>
      <c r="G104" s="10">
        <f>D103*C113+D104*C114+D105*C115+D106*C116+D107*C117+D108*C118+D109*C119</f>
        <v>0.71050149749736713</v>
      </c>
    </row>
    <row r="105" spans="2:14" x14ac:dyDescent="0.3">
      <c r="B105" s="6" t="s">
        <v>4</v>
      </c>
      <c r="C105" s="2">
        <f>I71</f>
        <v>0.1</v>
      </c>
      <c r="D105" s="12">
        <f>I72</f>
        <v>0.89999999999999991</v>
      </c>
    </row>
    <row r="106" spans="2:14" x14ac:dyDescent="0.3">
      <c r="B106" s="6" t="s">
        <v>3</v>
      </c>
      <c r="C106" s="2">
        <f>I77</f>
        <v>0.125</v>
      </c>
      <c r="D106" s="12">
        <f>I78</f>
        <v>0.875</v>
      </c>
    </row>
    <row r="107" spans="2:14" x14ac:dyDescent="0.3">
      <c r="B107" s="6" t="s">
        <v>2</v>
      </c>
      <c r="C107" s="2">
        <f>I83</f>
        <v>0.1</v>
      </c>
      <c r="D107" s="12">
        <f>I84</f>
        <v>0.89999999999999991</v>
      </c>
    </row>
    <row r="108" spans="2:14" x14ac:dyDescent="0.3">
      <c r="B108" s="6" t="s">
        <v>1</v>
      </c>
      <c r="C108" s="2">
        <f>I89</f>
        <v>0.14285714285714285</v>
      </c>
      <c r="D108" s="12">
        <f>I90</f>
        <v>0.8571428571428571</v>
      </c>
    </row>
    <row r="109" spans="2:14" ht="17.25" thickBot="1" x14ac:dyDescent="0.35">
      <c r="B109" s="4" t="s">
        <v>0</v>
      </c>
      <c r="C109" s="11">
        <f>I95</f>
        <v>0.33333333333333331</v>
      </c>
      <c r="D109" s="10">
        <f>I96</f>
        <v>0.66666666666666663</v>
      </c>
    </row>
    <row r="112" spans="2:14" ht="17.25" thickBot="1" x14ac:dyDescent="0.35">
      <c r="B112" s="9" t="s">
        <v>7</v>
      </c>
    </row>
    <row r="113" spans="2:3" x14ac:dyDescent="0.3">
      <c r="B113" s="8" t="s">
        <v>6</v>
      </c>
      <c r="C113" s="7">
        <f>L5</f>
        <v>0.54549363605091161</v>
      </c>
    </row>
    <row r="114" spans="2:3" x14ac:dyDescent="0.3">
      <c r="B114" s="6" t="s">
        <v>5</v>
      </c>
      <c r="C114" s="5">
        <f>L29*$L$6</f>
        <v>4.8366547512485383E-2</v>
      </c>
    </row>
    <row r="115" spans="2:3" x14ac:dyDescent="0.3">
      <c r="B115" s="6" t="s">
        <v>4</v>
      </c>
      <c r="C115" s="5">
        <f>L30*$L$6</f>
        <v>7.1217988800992962E-2</v>
      </c>
    </row>
    <row r="116" spans="2:3" x14ac:dyDescent="0.3">
      <c r="B116" s="6" t="s">
        <v>3</v>
      </c>
      <c r="C116" s="5">
        <f>L31*$L$6</f>
        <v>0.2503845039341997</v>
      </c>
    </row>
    <row r="117" spans="2:3" x14ac:dyDescent="0.3">
      <c r="B117" s="6" t="s">
        <v>2</v>
      </c>
      <c r="C117" s="5">
        <f>L44*$L$7</f>
        <v>6.9555753749749307E-3</v>
      </c>
    </row>
    <row r="118" spans="2:3" x14ac:dyDescent="0.3">
      <c r="B118" s="6" t="s">
        <v>1</v>
      </c>
      <c r="C118" s="5">
        <f>L45*$L$7</f>
        <v>1.8007976048065501E-2</v>
      </c>
    </row>
    <row r="119" spans="2:3" ht="17.25" thickBot="1" x14ac:dyDescent="0.35">
      <c r="B119" s="4" t="s">
        <v>0</v>
      </c>
      <c r="C119" s="3">
        <f>L46*$L$7</f>
        <v>5.9573772278369949E-2</v>
      </c>
    </row>
  </sheetData>
  <mergeCells count="2">
    <mergeCell ref="B20:B21"/>
    <mergeCell ref="B22:B2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F272-1D0D-44E6-AE87-C6949F39558E}">
  <dimension ref="A2:N119"/>
  <sheetViews>
    <sheetView showGridLines="0" zoomScale="55" zoomScaleNormal="55" workbookViewId="0">
      <selection activeCell="L11" sqref="L11:L13"/>
    </sheetView>
  </sheetViews>
  <sheetFormatPr defaultRowHeight="16.5" x14ac:dyDescent="0.3"/>
  <cols>
    <col min="2" max="3" width="26" bestFit="1" customWidth="1"/>
    <col min="4" max="4" width="23.125" style="2" bestFit="1" customWidth="1"/>
    <col min="5" max="5" width="19.625" bestFit="1" customWidth="1"/>
    <col min="6" max="6" width="22.25" bestFit="1" customWidth="1"/>
    <col min="7" max="7" width="19.75" style="2" bestFit="1" customWidth="1"/>
    <col min="8" max="9" width="26" bestFit="1" customWidth="1"/>
    <col min="10" max="10" width="30.125" bestFit="1" customWidth="1"/>
    <col min="11" max="11" width="14.375" bestFit="1" customWidth="1"/>
    <col min="12" max="12" width="19.375" bestFit="1" customWidth="1"/>
    <col min="13" max="13" width="21.125" style="1" customWidth="1"/>
    <col min="14" max="14" width="19.625" customWidth="1"/>
  </cols>
  <sheetData>
    <row r="2" spans="2:13" x14ac:dyDescent="0.3">
      <c r="B2" s="9" t="s">
        <v>36</v>
      </c>
      <c r="C2" s="2"/>
      <c r="E2" s="2"/>
      <c r="F2" s="2"/>
      <c r="H2" s="2"/>
      <c r="I2" s="2"/>
      <c r="J2" s="2"/>
      <c r="K2" s="2"/>
      <c r="L2" s="2"/>
    </row>
    <row r="3" spans="2:13" ht="17.25" thickBot="1" x14ac:dyDescent="0.35">
      <c r="B3" s="2"/>
      <c r="C3" s="2"/>
      <c r="E3" s="2"/>
      <c r="F3" s="2"/>
      <c r="H3" s="2"/>
      <c r="I3" s="2"/>
      <c r="J3" s="2"/>
      <c r="K3" s="2"/>
      <c r="L3" s="2"/>
    </row>
    <row r="4" spans="2:13" x14ac:dyDescent="0.3">
      <c r="B4" s="22" t="s">
        <v>17</v>
      </c>
      <c r="C4" s="26" t="s">
        <v>18</v>
      </c>
      <c r="D4" s="26" t="s">
        <v>35</v>
      </c>
      <c r="E4" s="25" t="s">
        <v>34</v>
      </c>
      <c r="F4" s="32"/>
      <c r="G4" s="32"/>
      <c r="H4" s="47" t="s">
        <v>16</v>
      </c>
      <c r="I4" s="26" t="s">
        <v>18</v>
      </c>
      <c r="J4" s="26" t="s">
        <v>35</v>
      </c>
      <c r="K4" s="26" t="s">
        <v>34</v>
      </c>
      <c r="L4" s="25" t="s">
        <v>12</v>
      </c>
    </row>
    <row r="5" spans="2:13" x14ac:dyDescent="0.3">
      <c r="B5" s="6" t="s">
        <v>18</v>
      </c>
      <c r="C5" s="2">
        <v>1</v>
      </c>
      <c r="D5" s="2">
        <f>1/C6</f>
        <v>7</v>
      </c>
      <c r="E5" s="12">
        <f>1/C7</f>
        <v>5</v>
      </c>
      <c r="F5" s="2"/>
      <c r="H5" s="6" t="s">
        <v>18</v>
      </c>
      <c r="I5" s="2">
        <f>C5/$C$8</f>
        <v>0.74468085106382986</v>
      </c>
      <c r="J5" s="2">
        <f>D5/$D$8</f>
        <v>0.7</v>
      </c>
      <c r="K5" s="2">
        <f>E5/$E$8</f>
        <v>0.76923076923076927</v>
      </c>
      <c r="L5" s="12">
        <f>SUM(I5:K5)/3</f>
        <v>0.73797054009819973</v>
      </c>
      <c r="M5" s="33" t="s">
        <v>41</v>
      </c>
    </row>
    <row r="6" spans="2:13" x14ac:dyDescent="0.3">
      <c r="B6" s="6" t="s">
        <v>35</v>
      </c>
      <c r="C6" s="2">
        <f>1/7</f>
        <v>0.14285714285714285</v>
      </c>
      <c r="D6" s="2">
        <v>1</v>
      </c>
      <c r="E6" s="12">
        <f>1/D7</f>
        <v>0.5</v>
      </c>
      <c r="F6" s="2"/>
      <c r="H6" s="6" t="s">
        <v>35</v>
      </c>
      <c r="I6" s="2">
        <f>C6/$C$8</f>
        <v>0.10638297872340426</v>
      </c>
      <c r="J6" s="2">
        <f>D6/$D$8</f>
        <v>0.1</v>
      </c>
      <c r="K6" s="2">
        <f>E6/$E$8</f>
        <v>7.6923076923076927E-2</v>
      </c>
      <c r="L6" s="12">
        <f>SUM(I6:K6)/3</f>
        <v>9.4435351882160401E-2</v>
      </c>
      <c r="M6" s="33" t="s">
        <v>42</v>
      </c>
    </row>
    <row r="7" spans="2:13" x14ac:dyDescent="0.3">
      <c r="B7" s="6" t="s">
        <v>34</v>
      </c>
      <c r="C7" s="2">
        <f>1/5</f>
        <v>0.2</v>
      </c>
      <c r="D7" s="2">
        <v>2</v>
      </c>
      <c r="E7" s="12">
        <v>1</v>
      </c>
      <c r="F7" s="2"/>
      <c r="H7" s="6" t="s">
        <v>34</v>
      </c>
      <c r="I7" s="2">
        <f>C7/$C$8</f>
        <v>0.14893617021276598</v>
      </c>
      <c r="J7" s="2">
        <f>D7/$D$8</f>
        <v>0.2</v>
      </c>
      <c r="K7" s="2">
        <f>E7/$E$8</f>
        <v>0.15384615384615385</v>
      </c>
      <c r="L7" s="12">
        <f>SUM(I7:K7)/3</f>
        <v>0.16759410801963995</v>
      </c>
      <c r="M7" s="33" t="s">
        <v>40</v>
      </c>
    </row>
    <row r="8" spans="2:13" ht="17.25" thickBot="1" x14ac:dyDescent="0.35">
      <c r="B8" s="4" t="s">
        <v>11</v>
      </c>
      <c r="C8" s="11">
        <f>SUM(C5:C7)</f>
        <v>1.3428571428571427</v>
      </c>
      <c r="D8" s="11">
        <f>SUM(D5:D7)</f>
        <v>10</v>
      </c>
      <c r="E8" s="10">
        <f>SUM(E5:E7)</f>
        <v>6.5</v>
      </c>
      <c r="F8" s="2"/>
      <c r="H8" s="4" t="s">
        <v>11</v>
      </c>
      <c r="I8" s="11">
        <f>SUM(I5:I7)</f>
        <v>1.0000000000000002</v>
      </c>
      <c r="J8" s="11">
        <f>SUM(J5:J7)</f>
        <v>1</v>
      </c>
      <c r="K8" s="11">
        <f>SUM(K5:K7)</f>
        <v>1</v>
      </c>
      <c r="L8" s="10">
        <f>SUM(L5:L7)</f>
        <v>1</v>
      </c>
    </row>
    <row r="9" spans="2:13" x14ac:dyDescent="0.3">
      <c r="B9" s="24"/>
      <c r="C9" s="2"/>
      <c r="E9" s="2"/>
      <c r="F9" s="2"/>
      <c r="H9" s="2"/>
      <c r="I9" s="2"/>
      <c r="J9" s="2"/>
      <c r="K9" s="2"/>
      <c r="L9" s="2"/>
    </row>
    <row r="10" spans="2:13" ht="17.25" thickBot="1" x14ac:dyDescent="0.35">
      <c r="B10" s="24"/>
      <c r="C10" s="2"/>
      <c r="E10" s="2"/>
      <c r="F10" s="2"/>
      <c r="H10" s="2"/>
      <c r="I10" s="2"/>
      <c r="J10" s="2"/>
      <c r="K10" s="2"/>
      <c r="L10" s="2"/>
    </row>
    <row r="11" spans="2:13" x14ac:dyDescent="0.3">
      <c r="B11" s="22" t="s">
        <v>30</v>
      </c>
      <c r="C11" s="26" t="s">
        <v>18</v>
      </c>
      <c r="D11" s="26" t="s">
        <v>35</v>
      </c>
      <c r="E11" s="26" t="s">
        <v>34</v>
      </c>
      <c r="F11" s="25" t="s">
        <v>25</v>
      </c>
      <c r="G11" s="32"/>
      <c r="H11" s="47" t="s">
        <v>24</v>
      </c>
      <c r="I11" s="25" t="s">
        <v>23</v>
      </c>
      <c r="J11" s="32"/>
      <c r="K11" s="31" t="s">
        <v>22</v>
      </c>
      <c r="L11" s="13">
        <f>(I15-3)/(3-1)</f>
        <v>7.1002949653411473E-3</v>
      </c>
    </row>
    <row r="12" spans="2:13" x14ac:dyDescent="0.3">
      <c r="B12" s="6" t="s">
        <v>18</v>
      </c>
      <c r="C12" s="2">
        <f>C5*$L$5</f>
        <v>0.73797054009819973</v>
      </c>
      <c r="D12" s="2">
        <f>D5*$L$6</f>
        <v>0.66104746317512286</v>
      </c>
      <c r="E12" s="2">
        <f>E5*$L$7</f>
        <v>0.83797054009819971</v>
      </c>
      <c r="F12" s="12">
        <f>SUM(C12:E12)</f>
        <v>2.2369885433715222</v>
      </c>
      <c r="H12" s="46" t="s">
        <v>18</v>
      </c>
      <c r="I12" s="12">
        <f>F12/L5</f>
        <v>3.0312707917498334</v>
      </c>
      <c r="J12" s="2"/>
      <c r="K12" s="6" t="s">
        <v>21</v>
      </c>
      <c r="L12" s="12">
        <f>L11/L13</f>
        <v>1.2241887871277841E-2</v>
      </c>
    </row>
    <row r="13" spans="2:13" ht="17.25" thickBot="1" x14ac:dyDescent="0.35">
      <c r="B13" s="6" t="s">
        <v>35</v>
      </c>
      <c r="C13" s="2">
        <f>C6*$L$5</f>
        <v>0.10542436287117138</v>
      </c>
      <c r="D13" s="2">
        <f>D6*$L$6</f>
        <v>9.4435351882160401E-2</v>
      </c>
      <c r="E13" s="2">
        <f>E6*$L$7</f>
        <v>8.3797054009819974E-2</v>
      </c>
      <c r="F13" s="12">
        <f>SUM(C13:E13)</f>
        <v>0.28365676876315177</v>
      </c>
      <c r="H13" s="46" t="s">
        <v>35</v>
      </c>
      <c r="I13" s="12">
        <f>F13/L6</f>
        <v>3.0037137905422133</v>
      </c>
      <c r="J13" s="2"/>
      <c r="K13" s="4" t="s">
        <v>20</v>
      </c>
      <c r="L13" s="10">
        <v>0.57999999999999996</v>
      </c>
    </row>
    <row r="14" spans="2:13" ht="17.25" thickBot="1" x14ac:dyDescent="0.35">
      <c r="B14" s="4" t="s">
        <v>34</v>
      </c>
      <c r="C14" s="11">
        <f>C7*$L$5</f>
        <v>0.14759410801963996</v>
      </c>
      <c r="D14" s="11">
        <f>D7*$L$6</f>
        <v>0.1888707037643208</v>
      </c>
      <c r="E14" s="11">
        <f>E7*$L$7</f>
        <v>0.16759410801963995</v>
      </c>
      <c r="F14" s="10">
        <f>SUM(C14:E14)</f>
        <v>0.50405891980360074</v>
      </c>
      <c r="H14" s="46" t="s">
        <v>34</v>
      </c>
      <c r="I14" s="12">
        <f>F14/L7</f>
        <v>3.0076171875000002</v>
      </c>
      <c r="J14" s="2"/>
      <c r="K14" s="2"/>
      <c r="L14" s="2"/>
    </row>
    <row r="15" spans="2:13" ht="17.25" thickBot="1" x14ac:dyDescent="0.35">
      <c r="H15" s="45" t="s">
        <v>19</v>
      </c>
      <c r="I15" s="10">
        <f>AVERAGE(I12:I14)</f>
        <v>3.0142005899306823</v>
      </c>
    </row>
    <row r="18" spans="2:13" ht="17.25" thickBot="1" x14ac:dyDescent="0.35">
      <c r="B18" s="44" t="s">
        <v>33</v>
      </c>
      <c r="C18" s="40"/>
      <c r="F18" s="18"/>
      <c r="G18" s="19"/>
    </row>
    <row r="19" spans="2:13" ht="18" thickTop="1" thickBot="1" x14ac:dyDescent="0.35">
      <c r="B19" s="24"/>
      <c r="D19" s="38"/>
      <c r="E19" s="29"/>
      <c r="H19" s="29"/>
      <c r="I19" s="29"/>
      <c r="J19" s="29"/>
      <c r="K19" s="29"/>
      <c r="L19" s="29"/>
      <c r="M19" s="28"/>
    </row>
    <row r="20" spans="2:13" ht="17.25" thickBot="1" x14ac:dyDescent="0.35">
      <c r="B20" s="137" t="s">
        <v>44</v>
      </c>
      <c r="C20" s="43" t="s">
        <v>6</v>
      </c>
      <c r="D20" s="5">
        <v>1.119</v>
      </c>
    </row>
    <row r="21" spans="2:13" x14ac:dyDescent="0.3">
      <c r="B21" s="137"/>
      <c r="C21" s="42" t="s">
        <v>32</v>
      </c>
      <c r="D21" s="5">
        <f>5.11532*LN(D20)+1</f>
        <v>1.575143200359252</v>
      </c>
    </row>
    <row r="22" spans="2:13" x14ac:dyDescent="0.3">
      <c r="B22" s="138" t="s">
        <v>43</v>
      </c>
      <c r="C22" s="42" t="s">
        <v>6</v>
      </c>
      <c r="D22" s="5">
        <v>1</v>
      </c>
    </row>
    <row r="23" spans="2:13" ht="17.25" thickBot="1" x14ac:dyDescent="0.35">
      <c r="B23" s="139"/>
      <c r="C23" s="41" t="s">
        <v>32</v>
      </c>
      <c r="D23" s="3">
        <v>1</v>
      </c>
    </row>
    <row r="24" spans="2:13" x14ac:dyDescent="0.3">
      <c r="B24" s="2"/>
      <c r="C24" s="2"/>
    </row>
    <row r="25" spans="2:13" ht="17.25" thickBot="1" x14ac:dyDescent="0.35">
      <c r="B25" s="2"/>
      <c r="C25" s="2"/>
    </row>
    <row r="26" spans="2:13" ht="17.25" thickBot="1" x14ac:dyDescent="0.35">
      <c r="B26" s="23" t="s">
        <v>31</v>
      </c>
      <c r="C26" s="40"/>
      <c r="E26" s="18"/>
      <c r="F26" s="18"/>
    </row>
    <row r="27" spans="2:13" ht="18" thickTop="1" thickBot="1" x14ac:dyDescent="0.35">
      <c r="B27" s="39"/>
      <c r="D27" s="38"/>
      <c r="G27" s="30"/>
      <c r="H27" s="37"/>
      <c r="I27" s="37"/>
      <c r="J27" s="37"/>
      <c r="K27" s="37"/>
      <c r="L27" s="37"/>
      <c r="M27" s="28"/>
    </row>
    <row r="28" spans="2:13" x14ac:dyDescent="0.3">
      <c r="B28" s="22" t="s">
        <v>17</v>
      </c>
      <c r="C28" s="15" t="s">
        <v>5</v>
      </c>
      <c r="D28" s="15" t="s">
        <v>29</v>
      </c>
      <c r="E28" s="14" t="s">
        <v>3</v>
      </c>
      <c r="F28" s="2"/>
      <c r="H28" s="22" t="s">
        <v>16</v>
      </c>
      <c r="I28" s="15" t="s">
        <v>5</v>
      </c>
      <c r="J28" s="15" t="s">
        <v>29</v>
      </c>
      <c r="K28" s="15" t="s">
        <v>3</v>
      </c>
      <c r="L28" s="14" t="s">
        <v>12</v>
      </c>
    </row>
    <row r="29" spans="2:13" x14ac:dyDescent="0.3">
      <c r="B29" s="6" t="s">
        <v>5</v>
      </c>
      <c r="C29" s="2">
        <v>1</v>
      </c>
      <c r="D29" s="2">
        <f>1/C30</f>
        <v>0.16666666666666666</v>
      </c>
      <c r="E29" s="12">
        <f>1/C31</f>
        <v>0.25</v>
      </c>
      <c r="F29" s="2"/>
      <c r="H29" s="6" t="s">
        <v>5</v>
      </c>
      <c r="I29" s="2">
        <f>C29/C32</f>
        <v>9.0909090909090912E-2</v>
      </c>
      <c r="J29" s="2">
        <f>D29/D32</f>
        <v>0.1111111111111111</v>
      </c>
      <c r="K29" s="2">
        <f>E29/E32</f>
        <v>5.8823529411764705E-2</v>
      </c>
      <c r="L29" s="12">
        <f>SUM(I29:K29)/3</f>
        <v>8.6947910477322241E-2</v>
      </c>
      <c r="M29" s="33" t="s">
        <v>41</v>
      </c>
    </row>
    <row r="30" spans="2:13" x14ac:dyDescent="0.3">
      <c r="B30" s="6" t="s">
        <v>29</v>
      </c>
      <c r="C30" s="2">
        <v>6</v>
      </c>
      <c r="D30" s="2">
        <v>1</v>
      </c>
      <c r="E30" s="12">
        <v>3</v>
      </c>
      <c r="F30" s="2"/>
      <c r="H30" s="6" t="s">
        <v>29</v>
      </c>
      <c r="I30" s="2">
        <f>C30/C32</f>
        <v>0.54545454545454541</v>
      </c>
      <c r="J30" s="2">
        <f>D30/D32</f>
        <v>0.66666666666666663</v>
      </c>
      <c r="K30" s="2">
        <f>E30/E32</f>
        <v>0.70588235294117652</v>
      </c>
      <c r="L30" s="12">
        <f>SUM(I30:K30)/3</f>
        <v>0.63933452168746285</v>
      </c>
      <c r="M30" s="33" t="s">
        <v>42</v>
      </c>
    </row>
    <row r="31" spans="2:13" x14ac:dyDescent="0.3">
      <c r="B31" s="6" t="s">
        <v>3</v>
      </c>
      <c r="C31" s="2">
        <v>4</v>
      </c>
      <c r="D31" s="2">
        <f>1/E30</f>
        <v>0.33333333333333331</v>
      </c>
      <c r="E31" s="12">
        <v>1</v>
      </c>
      <c r="F31" s="2"/>
      <c r="H31" s="6" t="s">
        <v>3</v>
      </c>
      <c r="I31" s="2">
        <f>C31/C32</f>
        <v>0.36363636363636365</v>
      </c>
      <c r="J31" s="2">
        <f>D31/D32</f>
        <v>0.22222222222222221</v>
      </c>
      <c r="K31" s="2">
        <f>E31/E32</f>
        <v>0.23529411764705882</v>
      </c>
      <c r="L31" s="12">
        <f>SUM(I31:K31)/3</f>
        <v>0.27371756783521489</v>
      </c>
      <c r="M31" s="33" t="s">
        <v>40</v>
      </c>
    </row>
    <row r="32" spans="2:13" ht="17.25" thickBot="1" x14ac:dyDescent="0.35">
      <c r="B32" s="4" t="s">
        <v>11</v>
      </c>
      <c r="C32" s="11">
        <f>SUM(C29:C31)</f>
        <v>11</v>
      </c>
      <c r="D32" s="11">
        <f>SUM(D29:D31)</f>
        <v>1.5</v>
      </c>
      <c r="E32" s="10">
        <f>SUM(E29:E31)</f>
        <v>4.25</v>
      </c>
      <c r="F32" s="2"/>
      <c r="H32" s="4" t="s">
        <v>11</v>
      </c>
      <c r="I32" s="11">
        <f>SUM(I29:I31)</f>
        <v>1</v>
      </c>
      <c r="J32" s="11">
        <f>SUM(J29:J31)</f>
        <v>0.99999999999999989</v>
      </c>
      <c r="K32" s="11">
        <f>SUM(K29:K31)</f>
        <v>1</v>
      </c>
      <c r="L32" s="10">
        <f>SUM(L29:L31)</f>
        <v>1</v>
      </c>
    </row>
    <row r="33" spans="2:13" ht="17.25" thickBot="1" x14ac:dyDescent="0.35">
      <c r="B33" s="2"/>
      <c r="C33" s="2"/>
      <c r="E33" s="2"/>
      <c r="F33" s="2"/>
      <c r="H33" s="2"/>
      <c r="I33" s="2"/>
      <c r="J33" s="2"/>
      <c r="K33" s="2"/>
      <c r="L33" s="2"/>
    </row>
    <row r="34" spans="2:13" x14ac:dyDescent="0.3">
      <c r="B34" s="22" t="s">
        <v>30</v>
      </c>
      <c r="C34" s="15" t="s">
        <v>5</v>
      </c>
      <c r="D34" s="15" t="s">
        <v>29</v>
      </c>
      <c r="E34" s="15" t="s">
        <v>3</v>
      </c>
      <c r="F34" s="14" t="s">
        <v>25</v>
      </c>
      <c r="H34" s="22" t="s">
        <v>24</v>
      </c>
      <c r="I34" s="14" t="s">
        <v>23</v>
      </c>
      <c r="J34" s="2"/>
      <c r="K34" s="8" t="s">
        <v>22</v>
      </c>
      <c r="L34" s="13">
        <f>(I38-3)/(3-1)</f>
        <v>2.7017378852400853E-2</v>
      </c>
    </row>
    <row r="35" spans="2:13" x14ac:dyDescent="0.3">
      <c r="B35" s="6" t="s">
        <v>5</v>
      </c>
      <c r="C35" s="2">
        <f>C29*$L$29</f>
        <v>8.6947910477322241E-2</v>
      </c>
      <c r="D35" s="2">
        <f>D29*$L$30</f>
        <v>0.10655575361457714</v>
      </c>
      <c r="E35" s="2">
        <f>E29*$L$31</f>
        <v>6.8429391958803723E-2</v>
      </c>
      <c r="F35" s="12">
        <f>SUM(C35:E35)</f>
        <v>0.26193305605070311</v>
      </c>
      <c r="H35" s="6" t="s">
        <v>5</v>
      </c>
      <c r="I35" s="12">
        <f>F35/L29</f>
        <v>3.0125284738041</v>
      </c>
      <c r="J35" s="2"/>
      <c r="K35" s="6" t="s">
        <v>21</v>
      </c>
      <c r="L35" s="12">
        <f>L34/L36</f>
        <v>4.6581687676553199E-2</v>
      </c>
    </row>
    <row r="36" spans="2:13" ht="17.25" thickBot="1" x14ac:dyDescent="0.35">
      <c r="B36" s="6" t="s">
        <v>29</v>
      </c>
      <c r="C36" s="2">
        <f>C30*$L$29</f>
        <v>0.52168746286393342</v>
      </c>
      <c r="D36" s="2">
        <f>D30*$L$30</f>
        <v>0.63933452168746285</v>
      </c>
      <c r="E36" s="2">
        <f>E30*$L$31</f>
        <v>0.82115270350564473</v>
      </c>
      <c r="F36" s="12">
        <f>SUM(C36:E36)</f>
        <v>1.982174688057041</v>
      </c>
      <c r="H36" s="6" t="s">
        <v>29</v>
      </c>
      <c r="I36" s="12">
        <f>F36/L30</f>
        <v>3.1003717472118959</v>
      </c>
      <c r="J36" s="2"/>
      <c r="K36" s="4" t="s">
        <v>20</v>
      </c>
      <c r="L36" s="10">
        <v>0.57999999999999996</v>
      </c>
    </row>
    <row r="37" spans="2:13" ht="17.25" thickBot="1" x14ac:dyDescent="0.35">
      <c r="B37" s="4" t="s">
        <v>3</v>
      </c>
      <c r="C37" s="11">
        <f>C31*$L$29</f>
        <v>0.34779164190928896</v>
      </c>
      <c r="D37" s="11">
        <f>D31*$L$30</f>
        <v>0.21311150722915428</v>
      </c>
      <c r="E37" s="11">
        <f>E31*$L$31</f>
        <v>0.27371756783521489</v>
      </c>
      <c r="F37" s="10">
        <f>SUM(C37:E37)</f>
        <v>0.83462071697365814</v>
      </c>
      <c r="H37" s="6" t="s">
        <v>3</v>
      </c>
      <c r="I37" s="12">
        <f>F37/L31</f>
        <v>3.0492040520984083</v>
      </c>
      <c r="J37" s="2"/>
      <c r="K37" s="2"/>
      <c r="L37" s="2"/>
    </row>
    <row r="38" spans="2:13" ht="17.25" thickBot="1" x14ac:dyDescent="0.35">
      <c r="B38" s="2"/>
      <c r="C38" s="2"/>
      <c r="E38" s="2"/>
      <c r="F38" s="2"/>
      <c r="H38" s="4" t="s">
        <v>19</v>
      </c>
      <c r="I38" s="10">
        <f>AVERAGE(I35:I37)</f>
        <v>3.0540347577048017</v>
      </c>
      <c r="J38" s="2"/>
      <c r="K38" s="2"/>
      <c r="L38" s="2"/>
    </row>
    <row r="39" spans="2:13" x14ac:dyDescent="0.3">
      <c r="B39" s="2"/>
      <c r="C39" s="2"/>
      <c r="E39" s="2"/>
      <c r="F39" s="2"/>
      <c r="H39" s="2"/>
      <c r="I39" s="2"/>
      <c r="J39" s="2"/>
      <c r="K39" s="2"/>
      <c r="L39" s="2"/>
    </row>
    <row r="40" spans="2:13" ht="17.25" thickBot="1" x14ac:dyDescent="0.35">
      <c r="B40" s="2"/>
      <c r="C40" s="2"/>
      <c r="E40" s="2"/>
      <c r="F40" s="2"/>
      <c r="H40" s="2"/>
      <c r="I40" s="2"/>
      <c r="J40" s="2"/>
      <c r="K40" s="2"/>
      <c r="L40" s="2"/>
    </row>
    <row r="41" spans="2:13" ht="17.25" thickBot="1" x14ac:dyDescent="0.35">
      <c r="B41" s="27" t="s">
        <v>28</v>
      </c>
      <c r="C41" s="2"/>
      <c r="D41" s="19"/>
      <c r="E41" s="2"/>
      <c r="F41" s="2"/>
      <c r="H41" s="2"/>
      <c r="I41" s="19"/>
      <c r="J41" s="19"/>
      <c r="K41" s="19"/>
      <c r="L41" s="2"/>
    </row>
    <row r="42" spans="2:13" ht="18" thickTop="1" thickBot="1" x14ac:dyDescent="0.35">
      <c r="B42" s="24"/>
      <c r="C42" s="37"/>
      <c r="E42" s="37"/>
      <c r="F42" s="29"/>
      <c r="G42" s="30"/>
      <c r="H42" s="37"/>
      <c r="L42" s="37"/>
      <c r="M42" s="28"/>
    </row>
    <row r="43" spans="2:13" x14ac:dyDescent="0.3">
      <c r="B43" s="22" t="s">
        <v>17</v>
      </c>
      <c r="C43" s="36" t="s">
        <v>2</v>
      </c>
      <c r="D43" s="26" t="s">
        <v>1</v>
      </c>
      <c r="E43" s="34" t="s">
        <v>0</v>
      </c>
      <c r="F43" s="32"/>
      <c r="G43" s="32"/>
      <c r="H43" s="35" t="s">
        <v>13</v>
      </c>
      <c r="I43" s="26" t="s">
        <v>26</v>
      </c>
      <c r="J43" s="26" t="s">
        <v>1</v>
      </c>
      <c r="K43" s="26" t="s">
        <v>0</v>
      </c>
      <c r="L43" s="34" t="s">
        <v>12</v>
      </c>
    </row>
    <row r="44" spans="2:13" x14ac:dyDescent="0.3">
      <c r="B44" s="6" t="s">
        <v>2</v>
      </c>
      <c r="C44" s="2">
        <v>1</v>
      </c>
      <c r="D44" s="2">
        <f>1/C45</f>
        <v>0.33333333333333331</v>
      </c>
      <c r="E44" s="12">
        <v>4</v>
      </c>
      <c r="F44" s="2"/>
      <c r="H44" s="6" t="s">
        <v>2</v>
      </c>
      <c r="I44" s="2">
        <f>C44/C47</f>
        <v>0.23529411764705882</v>
      </c>
      <c r="J44" s="2">
        <f>D44/D47</f>
        <v>0.22580645161290325</v>
      </c>
      <c r="K44" s="2">
        <f>E44/E47</f>
        <v>0.33333333333333331</v>
      </c>
      <c r="L44" s="12">
        <f>SUM(I44:K44)/3</f>
        <v>0.26481130086443178</v>
      </c>
      <c r="M44" s="33" t="s">
        <v>42</v>
      </c>
    </row>
    <row r="45" spans="2:13" x14ac:dyDescent="0.3">
      <c r="B45" s="6" t="s">
        <v>1</v>
      </c>
      <c r="C45" s="2">
        <v>3</v>
      </c>
      <c r="D45" s="2">
        <v>1</v>
      </c>
      <c r="E45" s="12">
        <v>7</v>
      </c>
      <c r="F45" s="2"/>
      <c r="H45" s="6" t="s">
        <v>1</v>
      </c>
      <c r="I45" s="2">
        <f>C45/C47</f>
        <v>0.70588235294117652</v>
      </c>
      <c r="J45" s="2">
        <f>D45/D47</f>
        <v>0.67741935483870974</v>
      </c>
      <c r="K45" s="2">
        <f>E45/E47</f>
        <v>0.58333333333333337</v>
      </c>
      <c r="L45" s="12">
        <f>SUM(I45:K45)/3</f>
        <v>0.65554501370440654</v>
      </c>
      <c r="M45" s="33" t="s">
        <v>41</v>
      </c>
    </row>
    <row r="46" spans="2:13" x14ac:dyDescent="0.3">
      <c r="B46" s="6" t="s">
        <v>0</v>
      </c>
      <c r="C46" s="2">
        <f>1/E44</f>
        <v>0.25</v>
      </c>
      <c r="D46" s="2">
        <f>1/E45</f>
        <v>0.14285714285714285</v>
      </c>
      <c r="E46" s="12">
        <v>1</v>
      </c>
      <c r="F46" s="2"/>
      <c r="H46" s="6" t="s">
        <v>0</v>
      </c>
      <c r="I46" s="2">
        <f>C46/C47</f>
        <v>5.8823529411764705E-2</v>
      </c>
      <c r="J46" s="2">
        <f>D46/D47</f>
        <v>9.6774193548387094E-2</v>
      </c>
      <c r="K46" s="2">
        <f>E46/E47</f>
        <v>8.3333333333333329E-2</v>
      </c>
      <c r="L46" s="12">
        <f>SUM(I46:K46)/3</f>
        <v>7.9643685431161695E-2</v>
      </c>
      <c r="M46" s="33" t="s">
        <v>40</v>
      </c>
    </row>
    <row r="47" spans="2:13" ht="17.25" thickBot="1" x14ac:dyDescent="0.35">
      <c r="B47" s="4" t="s">
        <v>11</v>
      </c>
      <c r="C47" s="11">
        <f>SUM(C44:C46)</f>
        <v>4.25</v>
      </c>
      <c r="D47" s="11">
        <f>SUM(D44:D46)</f>
        <v>1.4761904761904761</v>
      </c>
      <c r="E47" s="10">
        <f>SUM(E44:E46)</f>
        <v>12</v>
      </c>
      <c r="F47" s="2"/>
      <c r="H47" s="4" t="s">
        <v>11</v>
      </c>
      <c r="I47" s="11">
        <f>SUM(Seyeon!I44:I46)</f>
        <v>1</v>
      </c>
      <c r="J47" s="11">
        <f>SUM(J44:J46)</f>
        <v>1</v>
      </c>
      <c r="K47" s="11">
        <f>SUM(K44:K46)</f>
        <v>1</v>
      </c>
      <c r="L47" s="10">
        <f>SUM(L44:L46)</f>
        <v>1</v>
      </c>
    </row>
    <row r="48" spans="2:13" ht="17.25" thickBot="1" x14ac:dyDescent="0.35">
      <c r="B48" s="24"/>
      <c r="C48" s="2"/>
      <c r="E48" s="2"/>
      <c r="F48" s="2"/>
      <c r="H48" s="24"/>
      <c r="I48" s="2"/>
      <c r="J48" s="2"/>
      <c r="K48" s="2"/>
      <c r="L48" s="2"/>
    </row>
    <row r="49" spans="1:13" x14ac:dyDescent="0.3">
      <c r="B49" s="22" t="s">
        <v>27</v>
      </c>
      <c r="C49" s="26" t="s">
        <v>26</v>
      </c>
      <c r="D49" s="26" t="s">
        <v>1</v>
      </c>
      <c r="E49" s="26" t="s">
        <v>0</v>
      </c>
      <c r="F49" s="25" t="s">
        <v>25</v>
      </c>
      <c r="G49" s="32"/>
      <c r="H49" s="22" t="s">
        <v>24</v>
      </c>
      <c r="I49" s="25" t="s">
        <v>23</v>
      </c>
      <c r="J49" s="32"/>
      <c r="K49" s="31" t="s">
        <v>22</v>
      </c>
      <c r="L49" s="13">
        <f>(I53-3)/(3-1)</f>
        <v>1.6267150568799904E-2</v>
      </c>
    </row>
    <row r="50" spans="1:13" x14ac:dyDescent="0.3">
      <c r="B50" s="6" t="s">
        <v>2</v>
      </c>
      <c r="C50" s="2">
        <f>C44*$L$44</f>
        <v>0.26481130086443178</v>
      </c>
      <c r="D50" s="2">
        <f>D44*$L$45</f>
        <v>0.2185150045681355</v>
      </c>
      <c r="E50" s="2">
        <f>E44*$L$46</f>
        <v>0.31857474172464678</v>
      </c>
      <c r="F50" s="12">
        <f>SUM(C50:E50)</f>
        <v>0.80190104715721411</v>
      </c>
      <c r="H50" s="6" t="s">
        <v>2</v>
      </c>
      <c r="I50" s="12">
        <f>F50/L44</f>
        <v>3.028197983014862</v>
      </c>
      <c r="J50" s="2"/>
      <c r="K50" s="6" t="s">
        <v>21</v>
      </c>
      <c r="L50" s="12">
        <f>L49/L51</f>
        <v>2.8046811325517076E-2</v>
      </c>
    </row>
    <row r="51" spans="1:13" ht="17.25" thickBot="1" x14ac:dyDescent="0.35">
      <c r="B51" s="6" t="s">
        <v>1</v>
      </c>
      <c r="C51" s="2">
        <f>C45*$L$44</f>
        <v>0.79443390259329538</v>
      </c>
      <c r="D51" s="2">
        <f>D45*$L$45</f>
        <v>0.65554501370440654</v>
      </c>
      <c r="E51" s="2">
        <f>E45*$L$46</f>
        <v>0.55750579801813183</v>
      </c>
      <c r="F51" s="12">
        <f>SUM(C51:E51)</f>
        <v>2.0074847143158339</v>
      </c>
      <c r="H51" s="6" t="s">
        <v>1</v>
      </c>
      <c r="I51" s="12">
        <f>F51/L45</f>
        <v>3.0623140628768994</v>
      </c>
      <c r="J51" s="2"/>
      <c r="K51" s="4" t="s">
        <v>20</v>
      </c>
      <c r="L51" s="10">
        <v>0.57999999999999996</v>
      </c>
    </row>
    <row r="52" spans="1:13" ht="17.25" thickBot="1" x14ac:dyDescent="0.35">
      <c r="B52" s="4" t="s">
        <v>0</v>
      </c>
      <c r="C52" s="11">
        <f>C46*$L$44</f>
        <v>6.6202825216107944E-2</v>
      </c>
      <c r="D52" s="11">
        <f>D46*$L$45</f>
        <v>9.3649287672058074E-2</v>
      </c>
      <c r="E52" s="11">
        <f>E46*$L$46</f>
        <v>7.9643685431161695E-2</v>
      </c>
      <c r="F52" s="10">
        <f>SUM(C52:E52)</f>
        <v>0.23949579831932771</v>
      </c>
      <c r="H52" s="6" t="s">
        <v>0</v>
      </c>
      <c r="I52" s="12">
        <f>F52/L46</f>
        <v>3.0070908575210367</v>
      </c>
      <c r="J52" s="2"/>
      <c r="K52" s="2"/>
      <c r="L52" s="2"/>
    </row>
    <row r="53" spans="1:13" ht="17.25" thickBot="1" x14ac:dyDescent="0.35">
      <c r="B53" s="2"/>
      <c r="C53" s="2"/>
      <c r="E53" s="2"/>
      <c r="F53" s="2"/>
      <c r="H53" s="4" t="s">
        <v>19</v>
      </c>
      <c r="I53" s="10">
        <f>AVERAGE(I50:I52)</f>
        <v>3.0325343011375998</v>
      </c>
      <c r="J53" s="2"/>
      <c r="K53" s="2"/>
      <c r="L53" s="2"/>
    </row>
    <row r="54" spans="1:13" x14ac:dyDescent="0.3">
      <c r="B54" s="2"/>
      <c r="C54" s="2"/>
      <c r="E54" s="2"/>
      <c r="F54" s="2"/>
      <c r="H54" s="2"/>
      <c r="I54" s="2"/>
      <c r="J54" s="2"/>
      <c r="K54" s="2"/>
      <c r="L54" s="2"/>
    </row>
    <row r="55" spans="1:13" x14ac:dyDescent="0.3">
      <c r="B55" s="2"/>
      <c r="C55" s="2"/>
      <c r="E55" s="2"/>
      <c r="F55" s="2"/>
      <c r="H55" s="2"/>
      <c r="I55" s="2"/>
      <c r="J55" s="2"/>
      <c r="K55" s="2"/>
      <c r="L55" s="2"/>
    </row>
    <row r="56" spans="1:13" ht="17.25" thickBot="1" x14ac:dyDescent="0.35">
      <c r="D56" s="19"/>
    </row>
    <row r="57" spans="1:13" ht="18" thickTop="1" thickBot="1" x14ac:dyDescent="0.35">
      <c r="B57" s="29"/>
      <c r="C57" s="29"/>
      <c r="E57" s="29"/>
      <c r="F57" s="29"/>
      <c r="G57" s="30"/>
      <c r="H57" s="29"/>
      <c r="I57" s="29"/>
      <c r="J57" s="29"/>
      <c r="K57" s="29"/>
      <c r="L57" s="29"/>
      <c r="M57" s="28"/>
    </row>
    <row r="58" spans="1:13" ht="17.25" thickBot="1" x14ac:dyDescent="0.35">
      <c r="B58" s="27" t="s">
        <v>18</v>
      </c>
      <c r="C58" s="2"/>
      <c r="E58" s="2"/>
    </row>
    <row r="59" spans="1:13" ht="17.25" thickBot="1" x14ac:dyDescent="0.35">
      <c r="B59" s="24"/>
      <c r="C59" s="2"/>
      <c r="E59" s="2"/>
    </row>
    <row r="60" spans="1:13" x14ac:dyDescent="0.3">
      <c r="B60" s="22" t="s">
        <v>17</v>
      </c>
      <c r="C60" s="26" t="s">
        <v>39</v>
      </c>
      <c r="D60" s="26" t="s">
        <v>37</v>
      </c>
      <c r="E60" s="25" t="s">
        <v>11</v>
      </c>
      <c r="G60" s="22" t="s">
        <v>16</v>
      </c>
      <c r="H60" s="26" t="s">
        <v>39</v>
      </c>
      <c r="I60" s="26" t="s">
        <v>37</v>
      </c>
      <c r="J60" s="25" t="s">
        <v>11</v>
      </c>
    </row>
    <row r="61" spans="1:13" ht="17.25" thickBot="1" x14ac:dyDescent="0.35">
      <c r="A61" s="20"/>
      <c r="B61" s="4" t="s">
        <v>15</v>
      </c>
      <c r="C61" s="11">
        <v>1</v>
      </c>
      <c r="D61" s="11">
        <f>D21</f>
        <v>1.575143200359252</v>
      </c>
      <c r="E61" s="10">
        <f>SUM(C61:D61)</f>
        <v>2.575143200359252</v>
      </c>
      <c r="G61" s="4" t="s">
        <v>15</v>
      </c>
      <c r="H61" s="11">
        <f>C61/E61</f>
        <v>0.38832791895242658</v>
      </c>
      <c r="I61" s="11">
        <f>D61/E61</f>
        <v>0.61167208104757342</v>
      </c>
      <c r="J61" s="10">
        <f>SUM(H61:I61)</f>
        <v>1</v>
      </c>
    </row>
    <row r="62" spans="1:13" ht="17.25" thickBot="1" x14ac:dyDescent="0.35">
      <c r="G62" s="24"/>
    </row>
    <row r="63" spans="1:13" ht="17.25" thickBot="1" x14ac:dyDescent="0.35">
      <c r="B63" s="23" t="s">
        <v>5</v>
      </c>
      <c r="C63" s="2"/>
    </row>
    <row r="64" spans="1:13" x14ac:dyDescent="0.3">
      <c r="B64" s="22" t="s">
        <v>14</v>
      </c>
      <c r="C64" s="15" t="s">
        <v>38</v>
      </c>
      <c r="D64" s="14" t="s">
        <v>37</v>
      </c>
      <c r="F64" s="22" t="s">
        <v>13</v>
      </c>
      <c r="G64" s="15" t="s">
        <v>38</v>
      </c>
      <c r="H64" s="15" t="s">
        <v>37</v>
      </c>
      <c r="I64" s="14" t="s">
        <v>12</v>
      </c>
    </row>
    <row r="65" spans="2:11" x14ac:dyDescent="0.3">
      <c r="B65" s="6" t="s">
        <v>38</v>
      </c>
      <c r="C65" s="2">
        <v>1</v>
      </c>
      <c r="D65" s="12">
        <f>1/4</f>
        <v>0.25</v>
      </c>
      <c r="F65" s="6" t="s">
        <v>38</v>
      </c>
      <c r="G65" s="2">
        <f>C65/$C$67</f>
        <v>0.2</v>
      </c>
      <c r="H65" s="2">
        <f>D65/$D$67</f>
        <v>0.2</v>
      </c>
      <c r="I65" s="12">
        <f>SUM(G65:H65)/2</f>
        <v>0.2</v>
      </c>
    </row>
    <row r="66" spans="2:11" x14ac:dyDescent="0.3">
      <c r="B66" s="6" t="s">
        <v>37</v>
      </c>
      <c r="C66" s="2">
        <f>1/D65</f>
        <v>4</v>
      </c>
      <c r="D66" s="12">
        <v>1</v>
      </c>
      <c r="F66" s="6" t="s">
        <v>37</v>
      </c>
      <c r="G66" s="2">
        <f>C66/$C$67</f>
        <v>0.8</v>
      </c>
      <c r="H66" s="2">
        <f>D66/$D$67</f>
        <v>0.8</v>
      </c>
      <c r="I66" s="12">
        <f>SUM(G66:H66)/2</f>
        <v>0.8</v>
      </c>
    </row>
    <row r="67" spans="2:11" ht="17.25" thickBot="1" x14ac:dyDescent="0.35">
      <c r="B67" s="4" t="s">
        <v>11</v>
      </c>
      <c r="C67" s="11">
        <f>SUM(C65:C66)</f>
        <v>5</v>
      </c>
      <c r="D67" s="10">
        <f>SUM(D65:D66)</f>
        <v>1.25</v>
      </c>
      <c r="F67" s="4" t="s">
        <v>11</v>
      </c>
      <c r="G67" s="11">
        <f>SUM(G65:G66)</f>
        <v>1</v>
      </c>
      <c r="H67" s="11">
        <f>SUM(H65:H66)</f>
        <v>1</v>
      </c>
      <c r="I67" s="10">
        <f>SUM(I65:I66)</f>
        <v>1</v>
      </c>
    </row>
    <row r="68" spans="2:11" ht="17.25" thickBot="1" x14ac:dyDescent="0.35">
      <c r="B68" s="24"/>
      <c r="C68" s="2"/>
      <c r="I68" s="2"/>
    </row>
    <row r="69" spans="2:11" ht="17.25" thickBot="1" x14ac:dyDescent="0.35">
      <c r="B69" s="23" t="s">
        <v>4</v>
      </c>
      <c r="C69" s="2"/>
      <c r="I69" s="2"/>
    </row>
    <row r="70" spans="2:11" x14ac:dyDescent="0.3">
      <c r="B70" s="22" t="s">
        <v>14</v>
      </c>
      <c r="C70" s="15" t="s">
        <v>38</v>
      </c>
      <c r="D70" s="14" t="s">
        <v>37</v>
      </c>
      <c r="F70" s="22" t="s">
        <v>13</v>
      </c>
      <c r="G70" s="15" t="s">
        <v>38</v>
      </c>
      <c r="H70" s="15" t="s">
        <v>37</v>
      </c>
      <c r="I70" s="14" t="s">
        <v>12</v>
      </c>
    </row>
    <row r="71" spans="2:11" x14ac:dyDescent="0.3">
      <c r="B71" s="6" t="s">
        <v>38</v>
      </c>
      <c r="C71" s="2">
        <v>1</v>
      </c>
      <c r="D71" s="12">
        <f>1/3</f>
        <v>0.33333333333333331</v>
      </c>
      <c r="F71" s="6" t="s">
        <v>38</v>
      </c>
      <c r="G71" s="2">
        <f>C71/$C$73</f>
        <v>0.25</v>
      </c>
      <c r="H71" s="2">
        <f>D71/$D$73</f>
        <v>0.25</v>
      </c>
      <c r="I71" s="12">
        <f>SUM(G71:H71)/2</f>
        <v>0.25</v>
      </c>
    </row>
    <row r="72" spans="2:11" x14ac:dyDescent="0.3">
      <c r="B72" s="6" t="s">
        <v>37</v>
      </c>
      <c r="C72" s="2">
        <f>1/D71</f>
        <v>3</v>
      </c>
      <c r="D72" s="12">
        <v>1</v>
      </c>
      <c r="F72" s="6" t="s">
        <v>37</v>
      </c>
      <c r="G72" s="2">
        <f>C72/$C$73</f>
        <v>0.75</v>
      </c>
      <c r="H72" s="2">
        <f>D72/$D$73</f>
        <v>0.75</v>
      </c>
      <c r="I72" s="12">
        <f>SUM(G72:H72)/2</f>
        <v>0.75</v>
      </c>
    </row>
    <row r="73" spans="2:11" ht="17.25" thickBot="1" x14ac:dyDescent="0.35">
      <c r="B73" s="4" t="s">
        <v>11</v>
      </c>
      <c r="C73" s="11">
        <f>SUM(C71:C72)</f>
        <v>4</v>
      </c>
      <c r="D73" s="10">
        <f>SUM(D71:D72)</f>
        <v>1.3333333333333333</v>
      </c>
      <c r="F73" s="4" t="s">
        <v>11</v>
      </c>
      <c r="G73" s="11">
        <f>SUM(G71:G72)</f>
        <v>1</v>
      </c>
      <c r="H73" s="11">
        <f>SUM(H71:H72)</f>
        <v>1</v>
      </c>
      <c r="I73" s="10">
        <f>SUM(I71:I72)</f>
        <v>1</v>
      </c>
    </row>
    <row r="74" spans="2:11" ht="17.25" thickBot="1" x14ac:dyDescent="0.35">
      <c r="B74" s="24"/>
      <c r="C74" s="2"/>
      <c r="I74" s="2"/>
    </row>
    <row r="75" spans="2:11" ht="17.25" thickBot="1" x14ac:dyDescent="0.35">
      <c r="B75" s="23" t="s">
        <v>3</v>
      </c>
      <c r="C75" s="2"/>
      <c r="I75" s="2"/>
    </row>
    <row r="76" spans="2:11" x14ac:dyDescent="0.3">
      <c r="B76" s="22" t="s">
        <v>14</v>
      </c>
      <c r="C76" s="15" t="s">
        <v>38</v>
      </c>
      <c r="D76" s="14" t="s">
        <v>37</v>
      </c>
      <c r="E76" s="20"/>
      <c r="F76" s="22" t="s">
        <v>13</v>
      </c>
      <c r="G76" s="15" t="s">
        <v>38</v>
      </c>
      <c r="H76" s="15" t="s">
        <v>37</v>
      </c>
      <c r="I76" s="14" t="s">
        <v>12</v>
      </c>
      <c r="J76" s="20"/>
      <c r="K76" s="20"/>
    </row>
    <row r="77" spans="2:11" x14ac:dyDescent="0.3">
      <c r="B77" s="6" t="s">
        <v>38</v>
      </c>
      <c r="C77" s="2">
        <v>1</v>
      </c>
      <c r="D77" s="12">
        <f>1/7</f>
        <v>0.14285714285714285</v>
      </c>
      <c r="F77" s="6" t="s">
        <v>38</v>
      </c>
      <c r="G77" s="2">
        <f>C77/$C$79</f>
        <v>0.125</v>
      </c>
      <c r="H77" s="2">
        <f>D77/$D$79</f>
        <v>0.125</v>
      </c>
      <c r="I77" s="12">
        <f>SUM(G77:H77)/2</f>
        <v>0.125</v>
      </c>
    </row>
    <row r="78" spans="2:11" x14ac:dyDescent="0.3">
      <c r="B78" s="6" t="s">
        <v>37</v>
      </c>
      <c r="C78" s="2">
        <f>1/D77</f>
        <v>7</v>
      </c>
      <c r="D78" s="12">
        <v>1</v>
      </c>
      <c r="F78" s="6" t="s">
        <v>37</v>
      </c>
      <c r="G78" s="2">
        <f>C78/$C$79</f>
        <v>0.875</v>
      </c>
      <c r="H78" s="2">
        <f>D78/$D$79</f>
        <v>0.875</v>
      </c>
      <c r="I78" s="12">
        <f>SUM(G78:H78)/2</f>
        <v>0.875</v>
      </c>
    </row>
    <row r="79" spans="2:11" ht="17.25" thickBot="1" x14ac:dyDescent="0.35">
      <c r="B79" s="4" t="s">
        <v>11</v>
      </c>
      <c r="C79" s="11">
        <f>SUM(C77:C78)</f>
        <v>8</v>
      </c>
      <c r="D79" s="10">
        <f>SUM(D77:D78)</f>
        <v>1.1428571428571428</v>
      </c>
      <c r="F79" s="4" t="s">
        <v>11</v>
      </c>
      <c r="G79" s="11">
        <f>SUM(G77:G78)</f>
        <v>1</v>
      </c>
      <c r="H79" s="11">
        <f>SUM(H77:H78)</f>
        <v>1</v>
      </c>
      <c r="I79" s="10">
        <f>SUM(I77:I78)</f>
        <v>1</v>
      </c>
    </row>
    <row r="80" spans="2:11" ht="17.25" thickBot="1" x14ac:dyDescent="0.35">
      <c r="B80" s="24"/>
      <c r="C80" s="2"/>
      <c r="I80" s="2"/>
    </row>
    <row r="81" spans="1:14" ht="17.25" thickBot="1" x14ac:dyDescent="0.35">
      <c r="B81" s="23" t="s">
        <v>2</v>
      </c>
      <c r="C81" s="2"/>
      <c r="I81" s="2"/>
    </row>
    <row r="82" spans="1:14" x14ac:dyDescent="0.3">
      <c r="B82" s="22" t="s">
        <v>14</v>
      </c>
      <c r="C82" s="15" t="s">
        <v>38</v>
      </c>
      <c r="D82" s="14" t="s">
        <v>37</v>
      </c>
      <c r="F82" s="22" t="s">
        <v>13</v>
      </c>
      <c r="G82" s="15" t="s">
        <v>38</v>
      </c>
      <c r="H82" s="15" t="s">
        <v>37</v>
      </c>
      <c r="I82" s="14" t="s">
        <v>12</v>
      </c>
    </row>
    <row r="83" spans="1:14" s="20" customFormat="1" x14ac:dyDescent="0.3">
      <c r="A83"/>
      <c r="B83" s="6" t="s">
        <v>38</v>
      </c>
      <c r="C83" s="2">
        <v>1</v>
      </c>
      <c r="D83" s="12">
        <f>1/7</f>
        <v>0.14285714285714285</v>
      </c>
      <c r="E83"/>
      <c r="F83" s="6" t="s">
        <v>38</v>
      </c>
      <c r="G83" s="2">
        <f>C83/$C$85</f>
        <v>0.125</v>
      </c>
      <c r="H83" s="2">
        <f>D83/$D$85</f>
        <v>0.125</v>
      </c>
      <c r="I83" s="12">
        <f>SUM(G83:H83)/2</f>
        <v>0.125</v>
      </c>
      <c r="J83"/>
      <c r="K83"/>
      <c r="L83"/>
      <c r="M83" s="1"/>
      <c r="N83"/>
    </row>
    <row r="84" spans="1:14" x14ac:dyDescent="0.3">
      <c r="B84" s="6" t="s">
        <v>37</v>
      </c>
      <c r="C84" s="2">
        <f>1/D83</f>
        <v>7</v>
      </c>
      <c r="D84" s="12">
        <v>1</v>
      </c>
      <c r="F84" s="6" t="s">
        <v>37</v>
      </c>
      <c r="G84" s="2">
        <f>C84/$C$85</f>
        <v>0.875</v>
      </c>
      <c r="H84" s="2">
        <f>D84/$D$85</f>
        <v>0.875</v>
      </c>
      <c r="I84" s="12">
        <f>SUM(G84:H84)/2</f>
        <v>0.875</v>
      </c>
    </row>
    <row r="85" spans="1:14" ht="17.25" thickBot="1" x14ac:dyDescent="0.35">
      <c r="B85" s="4" t="s">
        <v>11</v>
      </c>
      <c r="C85" s="11">
        <f>SUM(C83:C84)</f>
        <v>8</v>
      </c>
      <c r="D85" s="10">
        <f>SUM(D83:D84)</f>
        <v>1.1428571428571428</v>
      </c>
      <c r="F85" s="4" t="s">
        <v>11</v>
      </c>
      <c r="G85" s="11">
        <f>SUM(G83:G84)</f>
        <v>1</v>
      </c>
      <c r="H85" s="11">
        <f>SUM(H83:H84)</f>
        <v>1</v>
      </c>
      <c r="I85" s="10">
        <f>SUM(I83:I84)</f>
        <v>1</v>
      </c>
    </row>
    <row r="86" spans="1:14" ht="17.25" thickBot="1" x14ac:dyDescent="0.35">
      <c r="B86" s="24"/>
      <c r="C86" s="2"/>
      <c r="I86" s="2"/>
    </row>
    <row r="87" spans="1:14" ht="17.25" thickBot="1" x14ac:dyDescent="0.35">
      <c r="B87" s="23" t="s">
        <v>1</v>
      </c>
      <c r="C87" s="2"/>
      <c r="I87" s="2"/>
    </row>
    <row r="88" spans="1:14" x14ac:dyDescent="0.3">
      <c r="B88" s="22" t="s">
        <v>14</v>
      </c>
      <c r="C88" s="15" t="s">
        <v>38</v>
      </c>
      <c r="D88" s="14" t="s">
        <v>37</v>
      </c>
      <c r="F88" s="22" t="s">
        <v>13</v>
      </c>
      <c r="G88" s="15" t="s">
        <v>38</v>
      </c>
      <c r="H88" s="15" t="s">
        <v>37</v>
      </c>
      <c r="I88" s="14" t="s">
        <v>12</v>
      </c>
    </row>
    <row r="89" spans="1:14" x14ac:dyDescent="0.3">
      <c r="B89" s="6" t="s">
        <v>38</v>
      </c>
      <c r="C89" s="2">
        <v>1</v>
      </c>
      <c r="D89" s="12">
        <f>1/5</f>
        <v>0.2</v>
      </c>
      <c r="F89" s="6" t="s">
        <v>38</v>
      </c>
      <c r="G89" s="2">
        <f>C89/$C$91</f>
        <v>0.16666666666666666</v>
      </c>
      <c r="H89" s="2">
        <f>D89/$D$91</f>
        <v>0.16666666666666669</v>
      </c>
      <c r="I89" s="12">
        <f>SUM(G89:H89)/2</f>
        <v>0.16666666666666669</v>
      </c>
    </row>
    <row r="90" spans="1:14" x14ac:dyDescent="0.3">
      <c r="B90" s="6" t="s">
        <v>37</v>
      </c>
      <c r="C90" s="2">
        <f>1/D89</f>
        <v>5</v>
      </c>
      <c r="D90" s="12">
        <v>1</v>
      </c>
      <c r="F90" s="6" t="s">
        <v>37</v>
      </c>
      <c r="G90" s="2">
        <f>C90/$C$91</f>
        <v>0.83333333333333337</v>
      </c>
      <c r="H90" s="2">
        <f>D90/$D$91</f>
        <v>0.83333333333333337</v>
      </c>
      <c r="I90" s="12">
        <f>SUM(G90:H90)/2</f>
        <v>0.83333333333333337</v>
      </c>
    </row>
    <row r="91" spans="1:14" ht="17.25" thickBot="1" x14ac:dyDescent="0.35">
      <c r="B91" s="4" t="s">
        <v>11</v>
      </c>
      <c r="C91" s="11">
        <f>SUM(C89:C90)</f>
        <v>6</v>
      </c>
      <c r="D91" s="10">
        <f>SUM(D89:D90)</f>
        <v>1.2</v>
      </c>
      <c r="F91" s="4" t="s">
        <v>11</v>
      </c>
      <c r="G91" s="11">
        <f>SUM(G89:G90)</f>
        <v>1</v>
      </c>
      <c r="H91" s="11">
        <f>SUM(H89:H90)</f>
        <v>1</v>
      </c>
      <c r="I91" s="10">
        <f>SUM(I89:I90)</f>
        <v>1</v>
      </c>
    </row>
    <row r="92" spans="1:14" ht="17.25" thickBot="1" x14ac:dyDescent="0.35">
      <c r="B92" s="24"/>
      <c r="C92" s="2"/>
      <c r="I92" s="2"/>
    </row>
    <row r="93" spans="1:14" ht="17.25" thickBot="1" x14ac:dyDescent="0.35">
      <c r="B93" s="23" t="s">
        <v>0</v>
      </c>
      <c r="C93" s="2"/>
      <c r="I93" s="2"/>
    </row>
    <row r="94" spans="1:14" x14ac:dyDescent="0.3">
      <c r="B94" s="22" t="s">
        <v>14</v>
      </c>
      <c r="C94" s="15" t="s">
        <v>38</v>
      </c>
      <c r="D94" s="14" t="s">
        <v>37</v>
      </c>
      <c r="F94" s="22" t="s">
        <v>13</v>
      </c>
      <c r="G94" s="15" t="s">
        <v>38</v>
      </c>
      <c r="H94" s="15" t="s">
        <v>37</v>
      </c>
      <c r="I94" s="14" t="s">
        <v>12</v>
      </c>
    </row>
    <row r="95" spans="1:14" x14ac:dyDescent="0.3">
      <c r="B95" s="6" t="s">
        <v>38</v>
      </c>
      <c r="C95" s="2">
        <v>1</v>
      </c>
      <c r="D95" s="12">
        <f>1/5</f>
        <v>0.2</v>
      </c>
      <c r="F95" s="6" t="s">
        <v>38</v>
      </c>
      <c r="G95" s="2">
        <f>C95/$C$97</f>
        <v>0.16666666666666666</v>
      </c>
      <c r="H95" s="2">
        <f>D95/$D$97</f>
        <v>0.16666666666666669</v>
      </c>
      <c r="I95" s="12">
        <f>SUM(G95:H95)/2</f>
        <v>0.16666666666666669</v>
      </c>
    </row>
    <row r="96" spans="1:14" x14ac:dyDescent="0.3">
      <c r="B96" s="6" t="s">
        <v>37</v>
      </c>
      <c r="C96" s="2">
        <f>1/D95</f>
        <v>5</v>
      </c>
      <c r="D96" s="12">
        <v>1</v>
      </c>
      <c r="F96" s="6" t="s">
        <v>37</v>
      </c>
      <c r="G96" s="2">
        <f>C96/$C$97</f>
        <v>0.83333333333333337</v>
      </c>
      <c r="H96" s="2">
        <f>D96/$D$97</f>
        <v>0.83333333333333337</v>
      </c>
      <c r="I96" s="12">
        <f>SUM(G96:H96)/2</f>
        <v>0.83333333333333337</v>
      </c>
    </row>
    <row r="97" spans="2:14" ht="17.25" thickBot="1" x14ac:dyDescent="0.35">
      <c r="B97" s="4" t="s">
        <v>11</v>
      </c>
      <c r="C97" s="11">
        <f>SUM(C95:C96)</f>
        <v>6</v>
      </c>
      <c r="D97" s="10">
        <f>SUM(D95:D96)</f>
        <v>1.2</v>
      </c>
      <c r="F97" s="4" t="s">
        <v>11</v>
      </c>
      <c r="G97" s="11">
        <f>SUM(G95:G96)</f>
        <v>1</v>
      </c>
      <c r="H97" s="11">
        <f>SUM(H95:H96)</f>
        <v>1</v>
      </c>
      <c r="I97" s="10">
        <f>SUM(I95:I96)</f>
        <v>1</v>
      </c>
    </row>
    <row r="98" spans="2:14" x14ac:dyDescent="0.3">
      <c r="C98" s="2"/>
      <c r="I98" s="2"/>
      <c r="L98" s="20"/>
      <c r="M98" s="21"/>
      <c r="N98" s="20"/>
    </row>
    <row r="99" spans="2:14" ht="17.25" thickBot="1" x14ac:dyDescent="0.35">
      <c r="B99" s="18"/>
      <c r="C99" s="18"/>
      <c r="D99" s="19"/>
      <c r="E99" s="18"/>
      <c r="F99" s="18"/>
      <c r="G99" s="19"/>
      <c r="H99" s="18"/>
      <c r="I99" s="18"/>
      <c r="J99" s="18"/>
      <c r="K99" s="18"/>
      <c r="L99" s="18"/>
      <c r="M99" s="17"/>
    </row>
    <row r="101" spans="2:14" ht="17.25" thickBot="1" x14ac:dyDescent="0.35">
      <c r="B101" s="9" t="s">
        <v>10</v>
      </c>
      <c r="F101" s="9" t="s">
        <v>9</v>
      </c>
    </row>
    <row r="102" spans="2:14" ht="17.25" thickBot="1" x14ac:dyDescent="0.35">
      <c r="B102" s="16"/>
      <c r="C102" s="15" t="s">
        <v>38</v>
      </c>
      <c r="D102" s="14" t="s">
        <v>176</v>
      </c>
    </row>
    <row r="103" spans="2:14" x14ac:dyDescent="0.3">
      <c r="B103" s="6" t="s">
        <v>6</v>
      </c>
      <c r="C103" s="2">
        <f>H61</f>
        <v>0.38832791895242658</v>
      </c>
      <c r="D103" s="12">
        <f>I61</f>
        <v>0.61167208104757342</v>
      </c>
      <c r="F103" s="8" t="s">
        <v>39</v>
      </c>
      <c r="G103" s="13">
        <f>C103*C113+C104*C114+C105*C115+C106*C116+C107*C117+C108*C118+C109*C119</f>
        <v>0.33262492813784356</v>
      </c>
    </row>
    <row r="104" spans="2:14" ht="17.25" thickBot="1" x14ac:dyDescent="0.35">
      <c r="B104" s="6" t="s">
        <v>5</v>
      </c>
      <c r="C104" s="2">
        <f>I65</f>
        <v>0.2</v>
      </c>
      <c r="D104" s="12">
        <f>I66</f>
        <v>0.8</v>
      </c>
      <c r="F104" s="4" t="s">
        <v>176</v>
      </c>
      <c r="G104" s="10">
        <f>D103*C113+D104*C114+D105*C115+D106*C116+D107*C117+D108*C118+D109*C119</f>
        <v>0.66737507186215661</v>
      </c>
    </row>
    <row r="105" spans="2:14" x14ac:dyDescent="0.3">
      <c r="B105" s="6" t="s">
        <v>4</v>
      </c>
      <c r="C105" s="2">
        <f>I71</f>
        <v>0.25</v>
      </c>
      <c r="D105" s="12">
        <f>I72</f>
        <v>0.75</v>
      </c>
    </row>
    <row r="106" spans="2:14" x14ac:dyDescent="0.3">
      <c r="B106" s="6" t="s">
        <v>3</v>
      </c>
      <c r="C106" s="2">
        <f>I77</f>
        <v>0.125</v>
      </c>
      <c r="D106" s="12">
        <f>I78</f>
        <v>0.875</v>
      </c>
    </row>
    <row r="107" spans="2:14" x14ac:dyDescent="0.3">
      <c r="B107" s="6" t="s">
        <v>2</v>
      </c>
      <c r="C107" s="2">
        <f>I83</f>
        <v>0.125</v>
      </c>
      <c r="D107" s="12">
        <f>I84</f>
        <v>0.875</v>
      </c>
    </row>
    <row r="108" spans="2:14" x14ac:dyDescent="0.3">
      <c r="B108" s="6" t="s">
        <v>1</v>
      </c>
      <c r="C108" s="2">
        <f>I89</f>
        <v>0.16666666666666669</v>
      </c>
      <c r="D108" s="12">
        <f>I90</f>
        <v>0.83333333333333337</v>
      </c>
    </row>
    <row r="109" spans="2:14" ht="17.25" thickBot="1" x14ac:dyDescent="0.35">
      <c r="B109" s="4" t="s">
        <v>0</v>
      </c>
      <c r="C109" s="11">
        <f>I95</f>
        <v>0.16666666666666669</v>
      </c>
      <c r="D109" s="10">
        <f>I96</f>
        <v>0.83333333333333337</v>
      </c>
    </row>
    <row r="112" spans="2:14" ht="17.25" thickBot="1" x14ac:dyDescent="0.35">
      <c r="B112" s="9" t="s">
        <v>7</v>
      </c>
    </row>
    <row r="113" spans="2:3" x14ac:dyDescent="0.3">
      <c r="B113" s="8" t="s">
        <v>6</v>
      </c>
      <c r="C113" s="7">
        <f>L5</f>
        <v>0.73797054009819973</v>
      </c>
    </row>
    <row r="114" spans="2:3" x14ac:dyDescent="0.3">
      <c r="B114" s="6" t="s">
        <v>5</v>
      </c>
      <c r="C114" s="5">
        <f>L29*$L$6</f>
        <v>8.2109565213445077E-3</v>
      </c>
    </row>
    <row r="115" spans="2:3" x14ac:dyDescent="0.3">
      <c r="B115" s="6" t="s">
        <v>4</v>
      </c>
      <c r="C115" s="5">
        <f>L30*$L$6</f>
        <v>6.0375780525968266E-2</v>
      </c>
    </row>
    <row r="116" spans="2:3" x14ac:dyDescent="0.3">
      <c r="B116" s="6" t="s">
        <v>3</v>
      </c>
      <c r="C116" s="5">
        <f>L31*$L$6</f>
        <v>2.5848614834847627E-2</v>
      </c>
    </row>
    <row r="117" spans="2:3" x14ac:dyDescent="0.3">
      <c r="B117" s="6" t="s">
        <v>2</v>
      </c>
      <c r="C117" s="5">
        <f>L44*$L$7</f>
        <v>4.4380813761894955E-2</v>
      </c>
    </row>
    <row r="118" spans="2:3" x14ac:dyDescent="0.3">
      <c r="B118" s="6" t="s">
        <v>1</v>
      </c>
      <c r="C118" s="5">
        <f>L45*$L$7</f>
        <v>0.10986548183851266</v>
      </c>
    </row>
    <row r="119" spans="2:3" ht="17.25" thickBot="1" x14ac:dyDescent="0.35">
      <c r="B119" s="4" t="s">
        <v>0</v>
      </c>
      <c r="C119" s="3">
        <f>L46*$L$7</f>
        <v>1.3347812419232337E-2</v>
      </c>
    </row>
  </sheetData>
  <mergeCells count="2">
    <mergeCell ref="B20:B21"/>
    <mergeCell ref="B22:B2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0B93-FA11-4950-948B-BBC9F9D6F4C1}">
  <dimension ref="B2:H19"/>
  <sheetViews>
    <sheetView showGridLines="0" zoomScale="77" zoomScaleNormal="100" workbookViewId="0">
      <selection activeCell="K23" sqref="K23"/>
    </sheetView>
  </sheetViews>
  <sheetFormatPr defaultRowHeight="16.5" x14ac:dyDescent="0.3"/>
  <cols>
    <col min="2" max="2" width="26" bestFit="1" customWidth="1"/>
    <col min="3" max="4" width="12.75" bestFit="1" customWidth="1"/>
    <col min="7" max="7" width="9.125" bestFit="1" customWidth="1"/>
    <col min="8" max="8" width="12.75" bestFit="1" customWidth="1"/>
  </cols>
  <sheetData>
    <row r="2" spans="2:8" x14ac:dyDescent="0.3">
      <c r="B2" s="140" t="s">
        <v>47</v>
      </c>
      <c r="C2" s="140"/>
      <c r="D2" s="140"/>
      <c r="G2" s="140" t="s">
        <v>46</v>
      </c>
      <c r="H2" s="140"/>
    </row>
    <row r="3" spans="2:8" x14ac:dyDescent="0.3">
      <c r="B3" s="48"/>
      <c r="C3" s="49" t="s">
        <v>39</v>
      </c>
      <c r="D3" s="49" t="s">
        <v>176</v>
      </c>
      <c r="G3" s="49" t="s">
        <v>176</v>
      </c>
      <c r="H3" s="50">
        <f>D4*C13+D5*C14+D6*C15+D7*C16+D8*C17+D9*C18+D10*C19</f>
        <v>0.62388656765200134</v>
      </c>
    </row>
    <row r="4" spans="2:8" x14ac:dyDescent="0.3">
      <c r="B4" s="49" t="s">
        <v>6</v>
      </c>
      <c r="C4" s="50">
        <f>GEOMEAN(Seyeon!C103,'Jeong-yun'!C103,Insun!C103)</f>
        <v>0.38832791895242658</v>
      </c>
      <c r="D4" s="50">
        <f>GEOMEAN(Seyeon!D103,'Jeong-yun'!D103,Insun!D103)</f>
        <v>0.61167208104757342</v>
      </c>
      <c r="G4" s="49" t="s">
        <v>39</v>
      </c>
      <c r="H4" s="50">
        <f>C4*C13+C5*C14+C6*C15+C7*C16+C8*C17+C9*C18+C10*C19</f>
        <v>0.28895488742153064</v>
      </c>
    </row>
    <row r="5" spans="2:8" x14ac:dyDescent="0.3">
      <c r="B5" s="49" t="s">
        <v>5</v>
      </c>
      <c r="C5" s="50">
        <f>GEOMEAN(Seyeon!C104,'Jeong-yun'!C104,Insun!C104)</f>
        <v>0.2554364774645177</v>
      </c>
      <c r="D5" s="50">
        <f>GEOMEAN(Seyeon!D104,'Jeong-yun'!D104,Insun!D104)</f>
        <v>0.73680629972807732</v>
      </c>
    </row>
    <row r="6" spans="2:8" x14ac:dyDescent="0.3">
      <c r="B6" s="49" t="s">
        <v>4</v>
      </c>
      <c r="C6" s="50">
        <f>GEOMEAN(Seyeon!C105,'Jeong-yun'!C105,Insun!C105)</f>
        <v>0.15285535436643993</v>
      </c>
      <c r="D6" s="50">
        <f>GEOMEAN(Seyeon!D105,'Jeong-yun'!D105,Insun!D105)</f>
        <v>0.83326983643173624</v>
      </c>
    </row>
    <row r="7" spans="2:8" x14ac:dyDescent="0.3">
      <c r="B7" s="49" t="s">
        <v>3</v>
      </c>
      <c r="C7" s="50">
        <f>GEOMEAN(Seyeon!C106,'Jeong-yun'!C106,Insun!C106)</f>
        <v>0.11603972084031948</v>
      </c>
      <c r="D7" s="50">
        <f>GEOMEAN(Seyeon!D106,'Jeong-yun'!D106,Insun!D106)</f>
        <v>0.88325520451348638</v>
      </c>
    </row>
    <row r="8" spans="2:8" x14ac:dyDescent="0.3">
      <c r="B8" s="49" t="s">
        <v>2</v>
      </c>
      <c r="C8" s="50">
        <f>GEOMEAN(Seyeon!C107,'Jeong-yun'!C107,Insun!C107)</f>
        <v>0.12771823873225885</v>
      </c>
      <c r="D8" s="50">
        <f>GEOMEAN(Seyeon!D107,'Jeong-yun'!D107,Insun!D107)</f>
        <v>0.86900666122161241</v>
      </c>
    </row>
    <row r="9" spans="2:8" x14ac:dyDescent="0.3">
      <c r="B9" s="49" t="s">
        <v>1</v>
      </c>
      <c r="C9" s="50">
        <f>GEOMEAN(Seyeon!C108,'Jeong-yun'!C108,Insun!C108)</f>
        <v>0.14384239566619703</v>
      </c>
      <c r="D9" s="50">
        <f>GEOMEAN(Seyeon!D108,'Jeong-yun'!D108,Insun!D108)</f>
        <v>0.85498797333834853</v>
      </c>
    </row>
    <row r="10" spans="2:8" x14ac:dyDescent="0.3">
      <c r="B10" s="49" t="s">
        <v>0</v>
      </c>
      <c r="C10" s="50">
        <f>GEOMEAN(Seyeon!C109,'Jeong-yun'!C109,Insun!C109)</f>
        <v>0.24037492838456806</v>
      </c>
      <c r="D10" s="50">
        <f>GEOMEAN(Seyeon!D109,'Jeong-yun'!D109,Insun!D109)</f>
        <v>0.74690079109286078</v>
      </c>
    </row>
    <row r="12" spans="2:8" x14ac:dyDescent="0.3">
      <c r="B12" s="140" t="s">
        <v>45</v>
      </c>
      <c r="C12" s="140"/>
    </row>
    <row r="13" spans="2:8" x14ac:dyDescent="0.3">
      <c r="B13" s="49" t="s">
        <v>6</v>
      </c>
      <c r="C13" s="48">
        <f>GEOMEAN(Seyeon!C113,'Jeong-yun'!C113,Insun!C113)</f>
        <v>0.63409819635246367</v>
      </c>
    </row>
    <row r="14" spans="2:8" x14ac:dyDescent="0.3">
      <c r="B14" s="49" t="s">
        <v>5</v>
      </c>
      <c r="C14" s="48">
        <f>GEOMEAN(Seyeon!C114,'Jeong-yun'!C114,Insun!C114)</f>
        <v>2.0981098085877278E-2</v>
      </c>
    </row>
    <row r="15" spans="2:8" x14ac:dyDescent="0.3">
      <c r="B15" s="49" t="s">
        <v>4</v>
      </c>
      <c r="C15" s="48">
        <f>GEOMEAN(Seyeon!C115,'Jeong-yun'!C115,Insun!C115)</f>
        <v>8.6953100507738607E-2</v>
      </c>
    </row>
    <row r="16" spans="2:8" x14ac:dyDescent="0.3">
      <c r="B16" s="49" t="s">
        <v>3</v>
      </c>
      <c r="C16" s="48">
        <f>GEOMEAN(Seyeon!C116,'Jeong-yun'!C116,Insun!C116)</f>
        <v>8.1726832162880611E-2</v>
      </c>
    </row>
    <row r="17" spans="2:3" x14ac:dyDescent="0.3">
      <c r="B17" s="49" t="s">
        <v>2</v>
      </c>
      <c r="C17" s="48">
        <f>GEOMEAN(Seyeon!C117,'Jeong-yun'!C117,Insun!C117)</f>
        <v>1.8912789509306048E-2</v>
      </c>
    </row>
    <row r="18" spans="2:3" x14ac:dyDescent="0.3">
      <c r="B18" s="49" t="s">
        <v>1</v>
      </c>
      <c r="C18" s="48">
        <f>GEOMEAN(Seyeon!C118,'Jeong-yun'!C118,Insun!C118)</f>
        <v>5.3144023243219367E-2</v>
      </c>
    </row>
    <row r="19" spans="2:3" x14ac:dyDescent="0.3">
      <c r="B19" s="49" t="s">
        <v>0</v>
      </c>
      <c r="C19" s="48">
        <f>GEOMEAN(Seyeon!C119,'Jeong-yun'!C119,Insun!C119)</f>
        <v>1.8815768755461336E-2</v>
      </c>
    </row>
  </sheetData>
  <mergeCells count="3">
    <mergeCell ref="G2:H2"/>
    <mergeCell ref="B12:C12"/>
    <mergeCell ref="B2:D2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E256BEB78F6584D8B033952FB097B93" ma:contentTypeVersion="5" ma:contentTypeDescription="새 문서를 만듭니다." ma:contentTypeScope="" ma:versionID="29a6d64a3b9f770e8e5d9313600f3dbd">
  <xsd:schema xmlns:xsd="http://www.w3.org/2001/XMLSchema" xmlns:xs="http://www.w3.org/2001/XMLSchema" xmlns:p="http://schemas.microsoft.com/office/2006/metadata/properties" xmlns:ns3="e3bc1c95-a36c-4f77-866b-ceeb4db466f9" targetNamespace="http://schemas.microsoft.com/office/2006/metadata/properties" ma:root="true" ma:fieldsID="954ec823d9e74b2cf220a5aa4ec03cbb" ns3:_="">
    <xsd:import namespace="e3bc1c95-a36c-4f77-866b-ceeb4db46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c1c95-a36c-4f77-866b-ceeb4db46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bc1c95-a36c-4f77-866b-ceeb4db466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A2A3FB-BDDB-41B9-8BB2-23BACFB2C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c1c95-a36c-4f77-866b-ceeb4db46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55BFD-2747-4A62-AC1F-3CD3D534363A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e3bc1c95-a36c-4f77-866b-ceeb4db466f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1168F0-07B3-4B17-BECE-00B582D0CB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Financial Statement</vt:lpstr>
      <vt:lpstr>Oliveyoung vs Cosub</vt:lpstr>
      <vt:lpstr>Seyeon</vt:lpstr>
      <vt:lpstr>Insun</vt:lpstr>
      <vt:lpstr>Jeong-yun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이정윤</cp:lastModifiedBy>
  <cp:lastPrinted>2022-12-09T11:30:58Z</cp:lastPrinted>
  <dcterms:created xsi:type="dcterms:W3CDTF">2022-12-03T12:44:43Z</dcterms:created>
  <dcterms:modified xsi:type="dcterms:W3CDTF">2022-12-09T11:31:11Z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0x010100CE256BEB78F6584D8B033952FB097B93</vt:lpwstr>
  </property>
</Properties>
</file>