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gram\services_bangtinh_v2.2\app\data\excel\"/>
    </mc:Choice>
  </mc:AlternateContent>
  <xr:revisionPtr revIDLastSave="0" documentId="8_{67A90FA3-BFE2-446A-93EF-3830C7F25D47}" xr6:coauthVersionLast="47" xr6:coauthVersionMax="47" xr10:uidLastSave="{00000000-0000-0000-0000-000000000000}"/>
  <bookViews>
    <workbookView xWindow="3040" yWindow="3040" windowWidth="14400" windowHeight="10800" xr2:uid="{00000000-000D-0000-FFFF-FFFF00000000}"/>
  </bookViews>
  <sheets>
    <sheet name="PAYROLL_COMPUTED" sheetId="8" r:id="rId1"/>
    <sheet name="PAYROLL" sheetId="1" r:id="rId2"/>
    <sheet name="PIS" sheetId="2" r:id="rId3"/>
    <sheet name="ADJ" sheetId="3" r:id="rId4"/>
    <sheet name="TSC" sheetId="4" r:id="rId5"/>
    <sheet name="TIMESHEET" sheetId="5" r:id="rId6"/>
    <sheet name="CSDA" sheetId="6" r:id="rId7"/>
    <sheet name="SF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P6" i="1" l="1"/>
  <c r="EJ6" i="1"/>
  <c r="EI6" i="1"/>
  <c r="EH6" i="1"/>
  <c r="EG6" i="1"/>
  <c r="EF6" i="1"/>
  <c r="ED6" i="1"/>
  <c r="EC6" i="1"/>
  <c r="EB6" i="1"/>
  <c r="EA6" i="1"/>
  <c r="DZ6" i="1"/>
  <c r="DR6" i="1"/>
  <c r="DQ6" i="1"/>
  <c r="DN6" i="1"/>
  <c r="DL6" i="1"/>
  <c r="DK6" i="1" a="1"/>
  <c r="DK6" i="1"/>
  <c r="DI6" i="1" a="1"/>
  <c r="DI6" i="1"/>
  <c r="DH6" i="1"/>
  <c r="DF6" i="1"/>
  <c r="DE6" i="1" a="1"/>
  <c r="DE6" i="1"/>
  <c r="DD6" i="1"/>
  <c r="DC6" i="1" a="1"/>
  <c r="DC6" i="1"/>
  <c r="DB6" i="1" a="1"/>
  <c r="DB6" i="1" s="1"/>
  <c r="CZ6" i="1"/>
  <c r="CY6" i="1"/>
  <c r="CW6" i="1"/>
  <c r="CV6" i="1"/>
  <c r="CU6" i="1"/>
  <c r="CT6" i="1"/>
  <c r="CS6" i="1"/>
  <c r="CR6" i="1"/>
  <c r="CX6" i="1" s="1"/>
  <c r="CP6" i="1"/>
  <c r="CO6" i="1"/>
  <c r="CN6" i="1"/>
  <c r="CK6" i="1"/>
  <c r="CJ6" i="1"/>
  <c r="CI6" i="1"/>
  <c r="CM6" i="1" s="1"/>
  <c r="CH6" i="1"/>
  <c r="CG6" i="1"/>
  <c r="CE6" i="1"/>
  <c r="CD6" i="1"/>
  <c r="CB6" i="1"/>
  <c r="CA6" i="1"/>
  <c r="BZ6" i="1"/>
  <c r="BY6" i="1"/>
  <c r="BX6" i="1"/>
  <c r="CC6" i="1" s="1"/>
  <c r="BR6" i="1"/>
  <c r="BO6" i="1"/>
  <c r="BQ6" i="1" s="1"/>
  <c r="BN6" i="1"/>
  <c r="BM6" i="1"/>
  <c r="BL6" i="1"/>
  <c r="BJ6" i="1"/>
  <c r="BI6" i="1"/>
  <c r="BH6" i="1"/>
  <c r="BG6" i="1"/>
  <c r="BK6" i="1" s="1"/>
  <c r="BF6" i="1"/>
  <c r="BE6" i="1"/>
  <c r="BD6" i="1"/>
  <c r="BC6" i="1"/>
  <c r="BB6" i="1"/>
  <c r="BA6" i="1"/>
  <c r="AZ6" i="1"/>
  <c r="AY6" i="1"/>
  <c r="AX6" i="1"/>
  <c r="AW6" i="1"/>
  <c r="AU6" i="1"/>
  <c r="AL6" i="1"/>
  <c r="AI6" i="1"/>
  <c r="AG6" i="1"/>
  <c r="AF6" i="1"/>
  <c r="AE6" i="1"/>
  <c r="AD6" i="1"/>
  <c r="AB6" i="1"/>
  <c r="AA6" i="1"/>
  <c r="Z6" i="1"/>
  <c r="Y6" i="1"/>
  <c r="X6" i="1"/>
  <c r="AP6" i="1" s="1"/>
  <c r="BS6" i="1" s="1"/>
  <c r="W6" i="1"/>
  <c r="V6" i="1"/>
  <c r="U6" i="1"/>
  <c r="DJ6" i="1" s="1"/>
  <c r="T6" i="1"/>
  <c r="DA6" i="1" s="1"/>
  <c r="S6" i="1"/>
  <c r="EP5" i="1"/>
  <c r="EJ5" i="1"/>
  <c r="EI5" i="1"/>
  <c r="EH5" i="1"/>
  <c r="EG5" i="1"/>
  <c r="EE5" i="1"/>
  <c r="ED5" i="1"/>
  <c r="EC5" i="1"/>
  <c r="EB5" i="1"/>
  <c r="EA5" i="1"/>
  <c r="DZ5" i="1"/>
  <c r="DR5" i="1"/>
  <c r="DQ5" i="1"/>
  <c r="DN5" i="1"/>
  <c r="DL5" i="1"/>
  <c r="DK5" i="1" a="1"/>
  <c r="DK5" i="1"/>
  <c r="DJ5" i="1"/>
  <c r="DI5" i="1" a="1"/>
  <c r="DI5" i="1"/>
  <c r="DF5" i="1"/>
  <c r="DE5" i="1" a="1"/>
  <c r="DE5" i="1"/>
  <c r="DD5" i="1"/>
  <c r="DC5" i="1" a="1"/>
  <c r="DC5" i="1"/>
  <c r="DB5" i="1" a="1"/>
  <c r="DB5" i="1"/>
  <c r="CZ5" i="1"/>
  <c r="CW5" i="1"/>
  <c r="CV5" i="1"/>
  <c r="CP5" i="1"/>
  <c r="CO5" i="1"/>
  <c r="CN5" i="1"/>
  <c r="CK5" i="1"/>
  <c r="CJ5" i="1"/>
  <c r="CI5" i="1"/>
  <c r="CH5" i="1"/>
  <c r="CM5" i="1" s="1"/>
  <c r="CD5" i="1"/>
  <c r="CB5" i="1"/>
  <c r="CA5" i="1"/>
  <c r="BR5" i="1"/>
  <c r="BO5" i="1"/>
  <c r="BQ5" i="1" s="1"/>
  <c r="BN5" i="1"/>
  <c r="BM5" i="1"/>
  <c r="BL5" i="1"/>
  <c r="BJ5" i="1"/>
  <c r="BI5" i="1"/>
  <c r="BH5" i="1"/>
  <c r="BG5" i="1"/>
  <c r="BF5" i="1"/>
  <c r="BK5" i="1" s="1"/>
  <c r="BD5" i="1"/>
  <c r="BC5" i="1"/>
  <c r="BB5" i="1"/>
  <c r="BA5" i="1"/>
  <c r="AZ5" i="1"/>
  <c r="AY5" i="1"/>
  <c r="AX5" i="1"/>
  <c r="AW5" i="1"/>
  <c r="AU5" i="1"/>
  <c r="AT5" i="1"/>
  <c r="AP5" i="1"/>
  <c r="BS5" i="1" s="1"/>
  <c r="AL5" i="1"/>
  <c r="AI5" i="1"/>
  <c r="AH5" i="1"/>
  <c r="AG5" i="1"/>
  <c r="AF5" i="1"/>
  <c r="AE5" i="1"/>
  <c r="AD5" i="1"/>
  <c r="AB5" i="1"/>
  <c r="AA5" i="1"/>
  <c r="AS5" i="1" s="1"/>
  <c r="Z5" i="1"/>
  <c r="Y5" i="1"/>
  <c r="X5" i="1"/>
  <c r="W5" i="1"/>
  <c r="AO5" i="1" s="1"/>
  <c r="BU5" i="1" s="1"/>
  <c r="V5" i="1"/>
  <c r="U5" i="1"/>
  <c r="CR5" i="1" s="1"/>
  <c r="CY5" i="1" s="1"/>
  <c r="T5" i="1"/>
  <c r="DA5" i="1" s="1"/>
  <c r="S5" i="1"/>
  <c r="EP4" i="1"/>
  <c r="EJ4" i="1"/>
  <c r="EI4" i="1"/>
  <c r="EH4" i="1"/>
  <c r="EG4" i="1"/>
  <c r="ED4" i="1"/>
  <c r="EC4" i="1"/>
  <c r="EB4" i="1"/>
  <c r="EA4" i="1"/>
  <c r="DZ4" i="1"/>
  <c r="DR4" i="1"/>
  <c r="DQ4" i="1"/>
  <c r="DN4" i="1"/>
  <c r="DL4" i="1"/>
  <c r="DK4" i="1" a="1"/>
  <c r="DK4" i="1"/>
  <c r="DI4" i="1" a="1"/>
  <c r="DI4" i="1" s="1"/>
  <c r="DF4" i="1"/>
  <c r="DE4" i="1" a="1"/>
  <c r="DE4" i="1" s="1"/>
  <c r="DD4" i="1"/>
  <c r="DC4" i="1" a="1"/>
  <c r="DC4" i="1" s="1"/>
  <c r="DB4" i="1" a="1"/>
  <c r="DB4" i="1"/>
  <c r="DA4" i="1"/>
  <c r="CZ4" i="1"/>
  <c r="CW4" i="1"/>
  <c r="CV4" i="1"/>
  <c r="CP4" i="1"/>
  <c r="CO4" i="1"/>
  <c r="CN4" i="1"/>
  <c r="CK4" i="1"/>
  <c r="CJ4" i="1"/>
  <c r="CI4" i="1"/>
  <c r="CH4" i="1"/>
  <c r="CD4" i="1"/>
  <c r="CB4" i="1"/>
  <c r="CA4" i="1"/>
  <c r="BQ4" i="1"/>
  <c r="BO4" i="1"/>
  <c r="BN4" i="1"/>
  <c r="BM4" i="1"/>
  <c r="BL4" i="1"/>
  <c r="BJ4" i="1"/>
  <c r="BI4" i="1"/>
  <c r="BH4" i="1"/>
  <c r="BG4" i="1"/>
  <c r="BF4" i="1"/>
  <c r="BD4" i="1"/>
  <c r="BC4" i="1"/>
  <c r="BB4" i="1"/>
  <c r="BA4" i="1"/>
  <c r="AZ4" i="1"/>
  <c r="AY4" i="1"/>
  <c r="AX4" i="1"/>
  <c r="AW4" i="1"/>
  <c r="BE4" i="1" s="1"/>
  <c r="AU4" i="1"/>
  <c r="AL4" i="1"/>
  <c r="AI4" i="1"/>
  <c r="AG4" i="1"/>
  <c r="AT4" i="1" s="1"/>
  <c r="AF4" i="1"/>
  <c r="AE4" i="1"/>
  <c r="AD4" i="1"/>
  <c r="AB4" i="1"/>
  <c r="AA4" i="1"/>
  <c r="Z4" i="1"/>
  <c r="Y4" i="1"/>
  <c r="X4" i="1"/>
  <c r="W4" i="1"/>
  <c r="V4" i="1"/>
  <c r="U4" i="1"/>
  <c r="CS4" i="1" s="1"/>
  <c r="T4" i="1"/>
  <c r="S4" i="1"/>
  <c r="EP3" i="1"/>
  <c r="EJ3" i="1"/>
  <c r="EI3" i="1"/>
  <c r="EH3" i="1"/>
  <c r="EG3" i="1"/>
  <c r="ED3" i="1"/>
  <c r="EC3" i="1"/>
  <c r="EB3" i="1"/>
  <c r="EA3" i="1"/>
  <c r="DZ3" i="1"/>
  <c r="DR3" i="1"/>
  <c r="DQ3" i="1"/>
  <c r="DN3" i="1"/>
  <c r="DL3" i="1"/>
  <c r="DK3" i="1" a="1"/>
  <c r="DK3" i="1" s="1"/>
  <c r="DI3" i="1" a="1"/>
  <c r="DI3" i="1" s="1"/>
  <c r="DF3" i="1"/>
  <c r="DE3" i="1" a="1"/>
  <c r="DE3" i="1" s="1"/>
  <c r="DD3" i="1"/>
  <c r="DC3" i="1" a="1"/>
  <c r="DC3" i="1" s="1"/>
  <c r="DB3" i="1" a="1"/>
  <c r="DB3" i="1" s="1"/>
  <c r="DA3" i="1"/>
  <c r="CZ3" i="1"/>
  <c r="CW3" i="1"/>
  <c r="CV3" i="1"/>
  <c r="CS3" i="1"/>
  <c r="CP3" i="1"/>
  <c r="CO3" i="1"/>
  <c r="CN3" i="1"/>
  <c r="CK3" i="1"/>
  <c r="CJ3" i="1"/>
  <c r="CI3" i="1"/>
  <c r="CH3" i="1"/>
  <c r="CM3" i="1" s="1"/>
  <c r="CD3" i="1"/>
  <c r="CB3" i="1"/>
  <c r="CA3" i="1"/>
  <c r="BY3" i="1"/>
  <c r="BX3" i="1"/>
  <c r="BQ3" i="1"/>
  <c r="BO3" i="1"/>
  <c r="BN3" i="1"/>
  <c r="BM3" i="1"/>
  <c r="BL3" i="1"/>
  <c r="BJ3" i="1"/>
  <c r="BI3" i="1"/>
  <c r="BH3" i="1"/>
  <c r="BG3" i="1"/>
  <c r="BK3" i="1" s="1"/>
  <c r="BF3" i="1"/>
  <c r="BD3" i="1"/>
  <c r="BC3" i="1"/>
  <c r="BB3" i="1"/>
  <c r="BA3" i="1"/>
  <c r="AZ3" i="1"/>
  <c r="AY3" i="1"/>
  <c r="AX3" i="1"/>
  <c r="AW3" i="1"/>
  <c r="AU3" i="1"/>
  <c r="AL3" i="1"/>
  <c r="AJ3" i="1"/>
  <c r="AI3" i="1"/>
  <c r="AG3" i="1"/>
  <c r="AF3" i="1"/>
  <c r="AE3" i="1"/>
  <c r="AT3" i="1" s="1"/>
  <c r="AD3" i="1"/>
  <c r="AB3" i="1"/>
  <c r="AA3" i="1"/>
  <c r="Z3" i="1"/>
  <c r="Y3" i="1"/>
  <c r="X3" i="1"/>
  <c r="AP3" i="1" s="1"/>
  <c r="BS3" i="1" s="1"/>
  <c r="W3" i="1"/>
  <c r="V3" i="1"/>
  <c r="U3" i="1"/>
  <c r="T3" i="1"/>
  <c r="S3" i="1"/>
  <c r="BV5" i="1" l="1"/>
  <c r="AJ4" i="1"/>
  <c r="EE4" i="1"/>
  <c r="DG4" i="1"/>
  <c r="BR4" i="1"/>
  <c r="AP4" i="1"/>
  <c r="BS4" i="1" s="1"/>
  <c r="AH4" i="1"/>
  <c r="AN4" i="1" s="1"/>
  <c r="AV4" i="1" s="1"/>
  <c r="AO4" i="1"/>
  <c r="BU4" i="1" s="1"/>
  <c r="BK4" i="1"/>
  <c r="AJ5" i="1"/>
  <c r="EF5" i="1"/>
  <c r="DH5" i="1"/>
  <c r="AQ5" i="1"/>
  <c r="AT6" i="1"/>
  <c r="AH6" i="1"/>
  <c r="AJ6" i="1"/>
  <c r="EK5" i="1"/>
  <c r="DT5" i="1" s="1"/>
  <c r="AR4" i="1"/>
  <c r="EE3" i="1"/>
  <c r="DG3" i="1"/>
  <c r="BR3" i="1"/>
  <c r="EF3" i="1"/>
  <c r="DH3" i="1"/>
  <c r="AK3" i="1"/>
  <c r="AM3" i="1" s="1"/>
  <c r="BE3" i="1"/>
  <c r="AS4" i="1"/>
  <c r="CM4" i="1"/>
  <c r="AN5" i="1"/>
  <c r="AC5" i="1"/>
  <c r="CU5" i="1"/>
  <c r="AR5" i="1"/>
  <c r="BZ5" i="1"/>
  <c r="CT5" i="1"/>
  <c r="AO6" i="1"/>
  <c r="BU6" i="1" s="1"/>
  <c r="AC6" i="1"/>
  <c r="AS6" i="1"/>
  <c r="CL6" i="1"/>
  <c r="CU4" i="1"/>
  <c r="CR4" i="1"/>
  <c r="BX4" i="1"/>
  <c r="DJ4" i="1"/>
  <c r="CT4" i="1"/>
  <c r="BZ4" i="1"/>
  <c r="AQ4" i="1"/>
  <c r="AC4" i="1"/>
  <c r="BY4" i="1"/>
  <c r="DJ3" i="1"/>
  <c r="DM3" i="1" s="1"/>
  <c r="CT3" i="1"/>
  <c r="BZ3" i="1"/>
  <c r="CC3" i="1" s="1"/>
  <c r="CE3" i="1" s="1"/>
  <c r="CU3" i="1"/>
  <c r="AQ3" i="1"/>
  <c r="AC3" i="1"/>
  <c r="CR3" i="1"/>
  <c r="EF4" i="1"/>
  <c r="EK4" i="1" s="1"/>
  <c r="DT4" i="1" s="1"/>
  <c r="AK4" i="1"/>
  <c r="AM4" i="1" s="1"/>
  <c r="DG5" i="1"/>
  <c r="DM5" i="1" s="1"/>
  <c r="EK6" i="1"/>
  <c r="DT6" i="1" s="1"/>
  <c r="BT6" i="1"/>
  <c r="BV6" i="1" s="1"/>
  <c r="AK5" i="1"/>
  <c r="AM5" i="1" s="1"/>
  <c r="BE5" i="1"/>
  <c r="BT5" i="1" s="1"/>
  <c r="BY5" i="1"/>
  <c r="CS5" i="1"/>
  <c r="CX5" i="1" s="1"/>
  <c r="DG6" i="1"/>
  <c r="DM6" i="1" s="1"/>
  <c r="EE6" i="1"/>
  <c r="AH3" i="1"/>
  <c r="DH4" i="1"/>
  <c r="DM4" i="1" s="1"/>
  <c r="BX5" i="1"/>
  <c r="AK6" i="1"/>
  <c r="AM6" i="1" s="1"/>
  <c r="CY4" i="1" l="1"/>
  <c r="CX4" i="1"/>
  <c r="BT4" i="1"/>
  <c r="BV4" i="1" s="1"/>
  <c r="BT3" i="1"/>
  <c r="BV3" i="1" s="1"/>
  <c r="CX3" i="1"/>
  <c r="CY3" i="1"/>
  <c r="EK3" i="1"/>
  <c r="DT3" i="1" s="1"/>
  <c r="AN6" i="1"/>
  <c r="AV6" i="1" s="1"/>
  <c r="BP6" i="1" s="1"/>
  <c r="AR6" i="1"/>
  <c r="AQ6" i="1"/>
  <c r="BP4" i="1"/>
  <c r="AS3" i="1"/>
  <c r="AO3" i="1"/>
  <c r="BU3" i="1" s="1"/>
  <c r="AR3" i="1"/>
  <c r="AN3" i="1"/>
  <c r="CC5" i="1"/>
  <c r="CE5" i="1" s="1"/>
  <c r="CC4" i="1"/>
  <c r="CE4" i="1" s="1"/>
  <c r="AV5" i="1"/>
  <c r="BP5" i="1" s="1"/>
  <c r="DO6" i="1" l="1"/>
  <c r="CQ6" i="1"/>
  <c r="BW6" i="1"/>
  <c r="CF6" i="1" s="1"/>
  <c r="DO5" i="1"/>
  <c r="BW5" i="1"/>
  <c r="CF5" i="1" s="1"/>
  <c r="CG5" i="1" s="1"/>
  <c r="CL5" i="1" s="1"/>
  <c r="CQ5" i="1" s="1"/>
  <c r="AV3" i="1"/>
  <c r="BP3" i="1" s="1"/>
  <c r="BW4" i="1"/>
  <c r="CF4" i="1" s="1"/>
  <c r="CG4" i="1" s="1"/>
  <c r="CL4" i="1" s="1"/>
  <c r="CQ4" i="1" s="1"/>
  <c r="DO4" i="1"/>
  <c r="DP4" i="1" l="1"/>
  <c r="DS4" i="1" s="1"/>
  <c r="DP5" i="1"/>
  <c r="DS5" i="1" s="1"/>
  <c r="DU5" i="1"/>
  <c r="BW3" i="1"/>
  <c r="CF3" i="1" s="1"/>
  <c r="CG3" i="1" s="1"/>
  <c r="CL3" i="1" s="1"/>
  <c r="CQ3" i="1" s="1"/>
  <c r="DO3" i="1"/>
  <c r="DP6" i="1"/>
  <c r="DS6" i="1" s="1"/>
  <c r="DP3" i="1" l="1"/>
  <c r="DS3" i="1" s="1"/>
  <c r="DV5" i="1"/>
  <c r="DW5" i="1" s="1"/>
  <c r="DU6" i="1"/>
  <c r="DU4" i="1"/>
  <c r="DV4" i="1" l="1"/>
  <c r="DW4" i="1" s="1"/>
  <c r="DV6" i="1"/>
  <c r="DW6" i="1" s="1"/>
  <c r="DU3" i="1"/>
  <c r="DV3" i="1" l="1"/>
  <c r="DW3" i="1" s="1"/>
</calcChain>
</file>

<file path=xl/sharedStrings.xml><?xml version="1.0" encoding="utf-8"?>
<sst xmlns="http://schemas.openxmlformats.org/spreadsheetml/2006/main" count="720" uniqueCount="476">
  <si>
    <t>STT</t>
  </si>
  <si>
    <t>Họ và Tên (*)</t>
  </si>
  <si>
    <t>Mã NV lấy từ phần mềm hiện tại</t>
  </si>
  <si>
    <t>Mã hồ sơ của nhân viên theo dự án</t>
  </si>
  <si>
    <t>Dự án(*)</t>
  </si>
  <si>
    <t xml:space="preserve">Mã chi phí của KH cung cấp </t>
  </si>
  <si>
    <t xml:space="preserve">Tên công việc </t>
  </si>
  <si>
    <t>Tên Chức vụ của NV, theo danh mục quy định</t>
  </si>
  <si>
    <t xml:space="preserve">Tên vị trí theo KH quy định </t>
  </si>
  <si>
    <t xml:space="preserve">Tên phòng ban làm việc do KH quy định </t>
  </si>
  <si>
    <t xml:space="preserve">Tên phòng ban nội bộ </t>
  </si>
  <si>
    <t xml:space="preserve">Mã hợp đồng </t>
  </si>
  <si>
    <t xml:space="preserve">Chủ tài khoản </t>
  </si>
  <si>
    <t xml:space="preserve">Tài khoản </t>
  </si>
  <si>
    <t xml:space="preserve">Tên Ngân hàng &amp; Chi nhánh (theo quy định của kế toán) </t>
  </si>
  <si>
    <t xml:space="preserve">Ký hiệu </t>
  </si>
  <si>
    <t xml:space="preserve">Hình thức chi trả </t>
  </si>
  <si>
    <t xml:space="preserve">Ngày chi trả </t>
  </si>
  <si>
    <t>Lương CB Tháng trước</t>
  </si>
  <si>
    <t xml:space="preserve">Lương căn bản </t>
  </si>
  <si>
    <t>Lương đóng BHBB</t>
  </si>
  <si>
    <t>Phụ cấp đóng bảo hiểm</t>
  </si>
  <si>
    <t>Phụ cấp Độc hại</t>
  </si>
  <si>
    <t>Trợ cấp cơm</t>
  </si>
  <si>
    <t>Trợ cấp điện thoại</t>
  </si>
  <si>
    <t>Trợ cấp đi lại</t>
  </si>
  <si>
    <t>Trợ cấp gửi xe/Xăng</t>
  </si>
  <si>
    <t>Trợ cấp nhà ở</t>
  </si>
  <si>
    <t>Tổng Phụ cấp &amp; Trợ cấp</t>
  </si>
  <si>
    <t>Ngày công căn bản</t>
  </si>
  <si>
    <t xml:space="preserve">Ngày công thực tế </t>
  </si>
  <si>
    <t>Ngày phép năm</t>
  </si>
  <si>
    <t>Ngày lễ tết – PH</t>
  </si>
  <si>
    <t>Ngày công tính lương</t>
  </si>
  <si>
    <t>Ngày công thử việc</t>
  </si>
  <si>
    <t>Nghỉ không lương</t>
  </si>
  <si>
    <t>Tồng lương cơ bản</t>
  </si>
  <si>
    <t>Lương điều chỉnh</t>
  </si>
  <si>
    <t>Tổng LCB</t>
  </si>
  <si>
    <t xml:space="preserve">Phụ cấp đóng BH </t>
  </si>
  <si>
    <t xml:space="preserve">PC Độc hại </t>
  </si>
  <si>
    <t>Cơm</t>
  </si>
  <si>
    <t>Trợ cấp Điện thoại/ 3G</t>
  </si>
  <si>
    <t xml:space="preserve">Trợ cấp đi lại </t>
  </si>
  <si>
    <t xml:space="preserve">Trợ cấp Xăng/gửi xe </t>
  </si>
  <si>
    <t xml:space="preserve">Trợ cấp Nhà ở </t>
  </si>
  <si>
    <t>Điều chỉnh phụ cấp</t>
  </si>
  <si>
    <t>Tổng trợ cấp phụ cấp</t>
  </si>
  <si>
    <t>OT ngày thường 1.0</t>
  </si>
  <si>
    <t>Số giờ tăng ca (150%)</t>
  </si>
  <si>
    <t>Số giờ tăng ca (200%)</t>
  </si>
  <si>
    <t>Số giờ tăng ca (300%)</t>
  </si>
  <si>
    <t>Số giờ tăng ca (210%)</t>
  </si>
  <si>
    <t>Số giờ tăng ca (270%)</t>
  </si>
  <si>
    <t>Số giờ tăng ca (390%)</t>
  </si>
  <si>
    <t>Số giờ làm ca đêm</t>
  </si>
  <si>
    <t>Tổng tiền tăng ca và ca đêm</t>
  </si>
  <si>
    <t>Lương tháng 13</t>
  </si>
  <si>
    <t>TAT NIEN</t>
  </si>
  <si>
    <t>Phụ cấp chuyên cần</t>
  </si>
  <si>
    <t>Thưởng hoa hồng</t>
  </si>
  <si>
    <t>Thưởng khác</t>
  </si>
  <si>
    <t>Tổng thu nhập khác</t>
  </si>
  <si>
    <t>BHXH trả vào lương</t>
  </si>
  <si>
    <t>Tiền phép năm còn lại</t>
  </si>
  <si>
    <t>Thu nhập chịu thuế khác</t>
  </si>
  <si>
    <t>Thu nhập không chịu thuế khác</t>
  </si>
  <si>
    <t>Tổng thu nhập</t>
  </si>
  <si>
    <t>Trợ cấp ca đêm</t>
  </si>
  <si>
    <t>Trợ cấp cơm trưa</t>
  </si>
  <si>
    <t xml:space="preserve">Lương ngoài giờ </t>
  </si>
  <si>
    <t>Phụ cấp khác/ độc hại</t>
  </si>
  <si>
    <t>Tổng khoản miễn thuế</t>
  </si>
  <si>
    <t>Tổng thu nhập chịu thuế bao gồm Phúc lợi</t>
  </si>
  <si>
    <t>Bảo hiểm xã hội (8%)</t>
  </si>
  <si>
    <t>Bảo hiểm y tế (1.5%)</t>
  </si>
  <si>
    <t>Bảo hiểm TN (1%)</t>
  </si>
  <si>
    <t>Điều chỉnh BH</t>
  </si>
  <si>
    <t>Truy thu tiền thẻ BHYT</t>
  </si>
  <si>
    <t>Tổng chi phí BHXH (EE)</t>
  </si>
  <si>
    <t>Số NPT</t>
  </si>
  <si>
    <t>Tổng giảm trừ</t>
  </si>
  <si>
    <t>Thu nhập tính thuế</t>
  </si>
  <si>
    <t>Thuế thu nhập cá nhân</t>
  </si>
  <si>
    <t>Thuế thu nhập cá nhân (10%)</t>
  </si>
  <si>
    <t>Thuế TNCN Công ty trả</t>
  </si>
  <si>
    <t>Điều chỉnh thuế</t>
  </si>
  <si>
    <t>Hoàn thuế TNCN</t>
  </si>
  <si>
    <t>Tổng tiền thuế TNCN</t>
  </si>
  <si>
    <t>BHSK (EE đóng)</t>
  </si>
  <si>
    <t>Trích nộp công đoàn phí</t>
  </si>
  <si>
    <t>Trừ khác</t>
  </si>
  <si>
    <t>Trừ tạm ứng</t>
  </si>
  <si>
    <t>Thu nhập thực nhận</t>
  </si>
  <si>
    <t>BHXH (ER)</t>
  </si>
  <si>
    <t>BHYT (ER)</t>
  </si>
  <si>
    <t>BHTN (ER)</t>
  </si>
  <si>
    <t>BHTN &amp; BNN</t>
  </si>
  <si>
    <t>Điều chỉnh BHXH</t>
  </si>
  <si>
    <t>Điều chỉnh BHYT</t>
  </si>
  <si>
    <t>Tổng Chi phí BHBB (ER)</t>
  </si>
  <si>
    <t>Kinh phí CĐ (2%)</t>
  </si>
  <si>
    <t>Phí chuyển khoản</t>
  </si>
  <si>
    <t>BHSK NSDLĐ</t>
  </si>
  <si>
    <t>Khám sức khỏe định kỳ</t>
  </si>
  <si>
    <t>Đồng phục</t>
  </si>
  <si>
    <t>Đào tạo</t>
  </si>
  <si>
    <t>Tất niên</t>
  </si>
  <si>
    <t>Ngày lễ</t>
  </si>
  <si>
    <t>12 ngày phép</t>
  </si>
  <si>
    <t>Thưởng năng lực</t>
  </si>
  <si>
    <t>Lì xì</t>
  </si>
  <si>
    <t>An sinh xã hội</t>
  </si>
  <si>
    <t>Khác (Du lịch)</t>
  </si>
  <si>
    <t>Tổng chi phí trích giữ (ER)</t>
  </si>
  <si>
    <t>Điều chỉnh chi phí lao động</t>
  </si>
  <si>
    <t>Tổng chi phí nhân sự</t>
  </si>
  <si>
    <t>Phí quản lý</t>
  </si>
  <si>
    <t>Điều chỉnh phí quản lý</t>
  </si>
  <si>
    <t xml:space="preserve">Phí tuyển dụng </t>
  </si>
  <si>
    <t>Tổng phí dịch vụ L &amp; A</t>
  </si>
  <si>
    <t>Chi trích giữ</t>
  </si>
  <si>
    <t>Tổng chi phí Bảng lương trước VAT</t>
  </si>
  <si>
    <t>VAT (10%)</t>
  </si>
  <si>
    <t>Tổng chi phí Bảng lương sau VAT</t>
  </si>
  <si>
    <t>Công đoàn</t>
  </si>
  <si>
    <t xml:space="preserve">Lý do </t>
  </si>
  <si>
    <t>Chi lương tháng 13</t>
  </si>
  <si>
    <t>Chi khám sức khỏe định kỳ</t>
  </si>
  <si>
    <t>Chi đồng phục</t>
  </si>
  <si>
    <t>Chi đào tạo</t>
  </si>
  <si>
    <t>Chi tất niên</t>
  </si>
  <si>
    <t>Chi ngày lễ</t>
  </si>
  <si>
    <t>Chi 12 ngày phép</t>
  </si>
  <si>
    <t>Chi Thưởng năng lực</t>
  </si>
  <si>
    <t>Chi lì xì</t>
  </si>
  <si>
    <t>Chi an sinh xã hội</t>
  </si>
  <si>
    <t>Chi khác (Du lịch)</t>
  </si>
  <si>
    <t>Lương thực nhận tháng trước</t>
  </si>
  <si>
    <t>Chênh lệch lương thực nhận</t>
  </si>
  <si>
    <t>Diễn giải</t>
  </si>
  <si>
    <t>Ghi chú</t>
  </si>
  <si>
    <t>Số ngày phép còn lại</t>
  </si>
  <si>
    <t>1</t>
  </si>
  <si>
    <t>2</t>
  </si>
  <si>
    <t>3</t>
  </si>
  <si>
    <t>4</t>
  </si>
  <si>
    <t>11</t>
  </si>
  <si>
    <t>14</t>
  </si>
  <si>
    <t>15</t>
  </si>
  <si>
    <t>16</t>
  </si>
  <si>
    <t>17</t>
  </si>
  <si>
    <t>18</t>
  </si>
  <si>
    <t>29</t>
  </si>
  <si>
    <t>50</t>
  </si>
  <si>
    <t>53</t>
  </si>
  <si>
    <t>54</t>
  </si>
  <si>
    <t>55</t>
  </si>
  <si>
    <t>57</t>
  </si>
  <si>
    <t>58</t>
  </si>
  <si>
    <t>61</t>
  </si>
  <si>
    <t>80</t>
  </si>
  <si>
    <t>81</t>
  </si>
  <si>
    <t>85</t>
  </si>
  <si>
    <t>100</t>
  </si>
  <si>
    <t>102</t>
  </si>
  <si>
    <t>103</t>
  </si>
  <si>
    <t>104</t>
  </si>
  <si>
    <t>105</t>
  </si>
  <si>
    <t>106</t>
  </si>
  <si>
    <t>107</t>
  </si>
  <si>
    <t>109</t>
  </si>
  <si>
    <t>110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</si>
  <si>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</si>
  <si>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</si>
  <si>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</si>
  <si>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</si>
  <si>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</si>
  <si>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</si>
  <si>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</si>
  <si>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</si>
  <si>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</si>
  <si>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160</t>
  </si>
  <si>
    <t>161</t>
  </si>
  <si>
    <t>162</t>
  </si>
  <si>
    <t>163</t>
  </si>
  <si>
    <t>167</t>
  </si>
  <si>
    <t>168</t>
  </si>
  <si>
    <t>200</t>
  </si>
  <si>
    <t>201</t>
  </si>
  <si>
    <t>202</t>
  </si>
  <si>
    <t>203</t>
  </si>
  <si>
    <t>GROSS</t>
  </si>
  <si>
    <t>225</t>
  </si>
  <si>
    <t>226</t>
  </si>
  <si>
    <t>227</t>
  </si>
  <si>
    <t>228</t>
  </si>
  <si>
    <t>229</t>
  </si>
  <si>
    <t>230</t>
  </si>
  <si>
    <t>231</t>
  </si>
  <si>
    <t>250</t>
  </si>
  <si>
    <t>251</t>
  </si>
  <si>
    <t>252</t>
  </si>
  <si>
    <t>253</t>
  </si>
  <si>
    <t>254</t>
  </si>
  <si>
    <t>255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</si>
  <si>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</si>
  <si>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</si>
  <si>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</si>
  <si>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</si>
  <si>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</si>
  <si>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</si>
  <si>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</si>
  <si>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</si>
  <si>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</si>
  <si>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300</t>
  </si>
  <si>
    <t>301</t>
  </si>
  <si>
    <t>302</t>
  </si>
  <si>
    <t>303</t>
  </si>
  <si>
    <t>NET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</si>
  <si>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</si>
  <si>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</si>
  <si>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</si>
  <si>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</si>
  <si>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</si>
  <si>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</si>
  <si>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</si>
  <si>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</si>
  <si>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</si>
  <si>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</si>
  <si>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</si>
  <si>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</si>
  <si>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</si>
  <si>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</si>
  <si>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</si>
  <si>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</si>
  <si>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</si>
  <si>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</si>
  <si>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</si>
  <si>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</si>
  <si>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</si>
  <si>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</si>
  <si>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</si>
  <si>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</si>
  <si>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</si>
  <si>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</si>
  <si>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</si>
  <si>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</si>
  <si>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</si>
  <si>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</si>
  <si>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</si>
  <si>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</si>
  <si>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</si>
  <si>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</si>
  <si>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</si>
  <si>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</si>
  <si>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</si>
  <si>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</si>
  <si>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</si>
  <si>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</si>
  <si>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</si>
  <si>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</si>
  <si>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</si>
  <si>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</si>
  <si>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</si>
  <si>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</si>
  <si>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500</t>
  </si>
  <si>
    <t>501</t>
  </si>
  <si>
    <t>502</t>
  </si>
  <si>
    <t>600</t>
  </si>
  <si>
    <t>Phep_</t>
  </si>
  <si>
    <t>Nguyễn Đoàn Nhật Nam</t>
  </si>
  <si>
    <t>163430-01</t>
  </si>
  <si>
    <t>Lê Khương Bảo Trung Kiên</t>
  </si>
  <si>
    <t>163706-01</t>
  </si>
  <si>
    <t>Nguyễn Văn Trọng</t>
  </si>
  <si>
    <t>163796-01</t>
  </si>
  <si>
    <t>Hàn Quốc Việt</t>
  </si>
  <si>
    <t>164313-01</t>
  </si>
  <si>
    <t>Mã NV gốc</t>
  </si>
  <si>
    <t>Họ tên NV</t>
  </si>
  <si>
    <t>Mã NV dự án</t>
  </si>
  <si>
    <t>Mã dự án</t>
  </si>
  <si>
    <t>Dự án</t>
  </si>
  <si>
    <t>Ngày sinh</t>
  </si>
  <si>
    <t>Tình trạng</t>
  </si>
  <si>
    <t>Ngày vào làm</t>
  </si>
  <si>
    <t>Ngày nghỉ việc</t>
  </si>
  <si>
    <t>Công việc</t>
  </si>
  <si>
    <t>Chức vụ</t>
  </si>
  <si>
    <t>Chức danh</t>
  </si>
  <si>
    <t>Phòng ban</t>
  </si>
  <si>
    <t>Loại HĐLĐ</t>
  </si>
  <si>
    <t>Loại lương</t>
  </si>
  <si>
    <t>Biểu thuế TNCN</t>
  </si>
  <si>
    <t>Đoàn viên 
 1/0</t>
  </si>
  <si>
    <t>Lương CB tháng trước</t>
  </si>
  <si>
    <t>Lương CB hiện tại</t>
  </si>
  <si>
    <t>Chủ tài khoản</t>
  </si>
  <si>
    <t>Tài khoản</t>
  </si>
  <si>
    <t>Tên Ngân hàng &amp; Chi nhánh</t>
  </si>
  <si>
    <t>Ký hiệu</t>
  </si>
  <si>
    <t>Ghi chú chi nhánh</t>
  </si>
  <si>
    <t>CMND</t>
  </si>
  <si>
    <t>Tiến trình HS</t>
  </si>
  <si>
    <t>Hợp đồng</t>
  </si>
  <si>
    <t>Đối tượng</t>
  </si>
  <si>
    <t>Ngày kết thúc HĐLĐ</t>
  </si>
  <si>
    <t>163430</t>
  </si>
  <si>
    <t>1816</t>
  </si>
  <si>
    <t>BAT VINH LOC - EO</t>
  </si>
  <si>
    <t>2001-09-16</t>
  </si>
  <si>
    <t>OLD</t>
  </si>
  <si>
    <t>2023-10-01</t>
  </si>
  <si>
    <t>Nhân viên</t>
  </si>
  <si>
    <t>LC1</t>
  </si>
  <si>
    <t>M-GROSS</t>
  </si>
  <si>
    <t>LT</t>
  </si>
  <si>
    <t>NGUYEN DOAN NHAT NAM</t>
  </si>
  <si>
    <t>0901673845</t>
  </si>
  <si>
    <t>Ngân hàng Thương mại Cổ phần Quân đội</t>
  </si>
  <si>
    <t>MB BANK</t>
  </si>
  <si>
    <t>077201008504</t>
  </si>
  <si>
    <t>0%</t>
  </si>
  <si>
    <t>163430-01-1816/K0913/011023</t>
  </si>
  <si>
    <t>Hợp đồng lao động Xác định thời hạn</t>
  </si>
  <si>
    <t>2024-09-30</t>
  </si>
  <si>
    <t>163796</t>
  </si>
  <si>
    <t>1996-11-10</t>
  </si>
  <si>
    <t>2023-10-17</t>
  </si>
  <si>
    <t>NGUYEN VAN TRONG</t>
  </si>
  <si>
    <t>19036351066011</t>
  </si>
  <si>
    <t>Ngân hàng Thương mại Cổ phần Kỹ thương Việt Nam</t>
  </si>
  <si>
    <t>TCB</t>
  </si>
  <si>
    <t>051096008838</t>
  </si>
  <si>
    <t>163796-01-1816/K0913/171023</t>
  </si>
  <si>
    <t>2024-10-16</t>
  </si>
  <si>
    <t>163706</t>
  </si>
  <si>
    <t>1992-04-26</t>
  </si>
  <si>
    <t>2023-10-09</t>
  </si>
  <si>
    <t>LE KHUONG BAO TRUNG KIEN</t>
  </si>
  <si>
    <t>100019336</t>
  </si>
  <si>
    <t>Ngân hàng Thương mại Cổ phần Xuất nhập khẩu Việt Nam</t>
  </si>
  <si>
    <t>EXIMBANK</t>
  </si>
  <si>
    <t>079092030961</t>
  </si>
  <si>
    <t>163706-01-1816/K0913/091023</t>
  </si>
  <si>
    <t>2024-10-08</t>
  </si>
  <si>
    <t>THAM SỐ CHUNG</t>
  </si>
  <si>
    <t>MỨC LƯƠNG TỐI THIỂU VÙNG</t>
  </si>
  <si>
    <t>Tham số</t>
  </si>
  <si>
    <t>Mã</t>
  </si>
  <si>
    <t>Giá trị</t>
  </si>
  <si>
    <t>Áp dụng từ ngày</t>
  </si>
  <si>
    <t>Vùng</t>
  </si>
  <si>
    <t>Mức</t>
  </si>
  <si>
    <t>Mức qua đào tạo</t>
  </si>
  <si>
    <t>Mức lương cơ sở (Lương tối thiểu chung) (VND)</t>
  </si>
  <si>
    <t>R101</t>
  </si>
  <si>
    <t>2022-01-01</t>
  </si>
  <si>
    <t>Tỉ lệ làm việc ban đêm (%)</t>
  </si>
  <si>
    <t>R102</t>
  </si>
  <si>
    <t>2022-03-01</t>
  </si>
  <si>
    <t>Tỉ lệ đoàn phí (EE) (%)</t>
  </si>
  <si>
    <t>R201</t>
  </si>
  <si>
    <t>Tỉ lệ đoàn phí (ER) (%)</t>
  </si>
  <si>
    <t>R202</t>
  </si>
  <si>
    <t>Tỉ lệ làm thêm giờ Ngày thường (%)</t>
  </si>
  <si>
    <t>R301</t>
  </si>
  <si>
    <t>Tỉ lệ làm thêm giờ Ngày nghỉ (%)</t>
  </si>
  <si>
    <t>R302</t>
  </si>
  <si>
    <t>Tỉ lệ làm thêm giờ Ngày lễ (%)</t>
  </si>
  <si>
    <t>R303</t>
  </si>
  <si>
    <t>Tỉ lệ làm thêm giờ ban đêm Ngày thường (%)</t>
  </si>
  <si>
    <t>R311</t>
  </si>
  <si>
    <t>Tỉ lệ làm thêm giờ ban đêm Ngày nghỉ (%)</t>
  </si>
  <si>
    <t>R312</t>
  </si>
  <si>
    <t>Tỉ lệ làm thêm giờ ban đêm Ngày lễ (%)</t>
  </si>
  <si>
    <t>R313</t>
  </si>
  <si>
    <t>Mức cơm trưa (VND)</t>
  </si>
  <si>
    <t>R501</t>
  </si>
  <si>
    <t xml:space="preserve">Mức tỉ lệ tiền thuê nhà (%) </t>
  </si>
  <si>
    <t>R502</t>
  </si>
  <si>
    <t>Mức trang phục (VND)</t>
  </si>
  <si>
    <t>R503</t>
  </si>
  <si>
    <t>Mức giảm trừ NPT (VND) (tháng)</t>
  </si>
  <si>
    <t>R601</t>
  </si>
  <si>
    <t>Mức giảm trừ bản thân (VND) (tháng)</t>
  </si>
  <si>
    <t>R602</t>
  </si>
  <si>
    <t>Mức thuế Khấu trừ Cá nhân cư trú (%)</t>
  </si>
  <si>
    <t>R610</t>
  </si>
  <si>
    <t>Mức thuế Khấu trừ Cá nhân không cư trú (%)</t>
  </si>
  <si>
    <t>R620</t>
  </si>
  <si>
    <t xml:space="preserve">Số lần tính trên lương tối thiểu (lần) </t>
  </si>
  <si>
    <t>R700</t>
  </si>
  <si>
    <t>BHXH Hưu trí tử tuất (EE) (%)</t>
  </si>
  <si>
    <t>R701</t>
  </si>
  <si>
    <t>BHXH Ốm đau thai sản (EE) (%)</t>
  </si>
  <si>
    <t>T702</t>
  </si>
  <si>
    <t>BHXH TNLĐ BNN (EE) (%)</t>
  </si>
  <si>
    <t>T703</t>
  </si>
  <si>
    <t>Bảo hiểm Y tế (EE) (%)</t>
  </si>
  <si>
    <t>T704</t>
  </si>
  <si>
    <t>Bảo hiểm Thất nghiệp (EE) (%)</t>
  </si>
  <si>
    <t>T705</t>
  </si>
  <si>
    <t>BHXH Hưu trí tử tuất (ER) (%)</t>
  </si>
  <si>
    <t>T711</t>
  </si>
  <si>
    <t>BHXH Ốm đau thai sản(ER) (%)</t>
  </si>
  <si>
    <t>T712</t>
  </si>
  <si>
    <t>BHXH TNLĐ BNN (ER) (%)</t>
  </si>
  <si>
    <t>T713</t>
  </si>
  <si>
    <t>Bảo hiểm Y tế (ER) (%)</t>
  </si>
  <si>
    <t>T714</t>
  </si>
  <si>
    <t>Bảo hiểm Thất nghiệp (ER) (%)</t>
  </si>
  <si>
    <t>T715</t>
  </si>
  <si>
    <t>Ngày bắt đầu làm việc</t>
  </si>
  <si>
    <t>Ngày công chuẩn</t>
  </si>
  <si>
    <t>Làm việc</t>
  </si>
  <si>
    <t>Nghỉ lễ</t>
  </si>
  <si>
    <t>Ngày nghỉ phép</t>
  </si>
  <si>
    <t>Ngày nghỉ phép do công ty sắp xếp</t>
  </si>
  <si>
    <t>Ngày nghỉ ốm đau</t>
  </si>
  <si>
    <t>Ngày nghỉ thai sản</t>
  </si>
  <si>
    <t>Ngày nghỉ không lương</t>
  </si>
  <si>
    <t>Ngày nghỉ hưởng lương 70%</t>
  </si>
  <si>
    <t>Nghỉ có trả lương</t>
  </si>
  <si>
    <t>Mới/ Dừng</t>
  </si>
  <si>
    <t>Ngày công ca đêm</t>
  </si>
  <si>
    <t>Ngày giờ độc hại</t>
  </si>
  <si>
    <t>Ngày công phụ cấp</t>
  </si>
  <si>
    <t>Giờ làm thêm ngày thường ca đêm</t>
  </si>
  <si>
    <t>Giờ làm thêm ngày thường 1.0</t>
  </si>
  <si>
    <t>Giờ làm thêm ngày thường</t>
  </si>
  <si>
    <t>Giờ làm thêm ngày nghỉ</t>
  </si>
  <si>
    <t>Giờ làm thêm ngày lễ</t>
  </si>
  <si>
    <t>Giờ làm thêm ngày nghỉ ca đêm</t>
  </si>
  <si>
    <t>Giờ làm thêm ngày lễ ca đêm</t>
  </si>
  <si>
    <t>Lập biên bản</t>
  </si>
  <si>
    <t>ĐI trễ về sớm</t>
  </si>
  <si>
    <t>Cơm chính</t>
  </si>
  <si>
    <t>Cơm phụ</t>
  </si>
  <si>
    <t>Kỷ luật</t>
  </si>
  <si>
    <t>T100</t>
  </si>
  <si>
    <t>T202</t>
  </si>
  <si>
    <t>T301</t>
  </si>
  <si>
    <t>T302</t>
  </si>
  <si>
    <t>T303</t>
  </si>
  <si>
    <t>T311</t>
  </si>
  <si>
    <t>T312</t>
  </si>
  <si>
    <t>T320</t>
  </si>
  <si>
    <t>T409</t>
  </si>
  <si>
    <t>T406</t>
  </si>
  <si>
    <t>T408</t>
  </si>
  <si>
    <t>T500</t>
  </si>
  <si>
    <t>T701</t>
  </si>
  <si>
    <t>T801</t>
  </si>
  <si>
    <t>T611</t>
  </si>
  <si>
    <t>T620</t>
  </si>
  <si>
    <t>T601</t>
  </si>
  <si>
    <t>T602</t>
  </si>
  <si>
    <t>T603</t>
  </si>
  <si>
    <t>T612</t>
  </si>
  <si>
    <t>T613</t>
  </si>
  <si>
    <t>T805</t>
  </si>
  <si>
    <t>T804</t>
  </si>
  <si>
    <t>T802</t>
  </si>
  <si>
    <t>T803</t>
  </si>
  <si>
    <t>T806</t>
  </si>
  <si>
    <t>2023-11-14</t>
  </si>
  <si>
    <t>Chính sách:</t>
  </si>
  <si>
    <t>QUY ĐỊNH VỀ CHÍNH SÁCH BAT VINH LOC - EO 01102023 18161023-01</t>
  </si>
  <si>
    <t>Thời gian áp dụng:</t>
  </si>
  <si>
    <t>01/08/2023 - 31/07/2024</t>
  </si>
  <si>
    <t>Quy tắc lương</t>
  </si>
  <si>
    <t>Số tiền</t>
  </si>
  <si>
    <t>Trích giữ</t>
  </si>
  <si>
    <t>Công đoàn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</si>
</sst>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dd/mm/yyyy"/>
  </numFmts>
  <fonts count="18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111111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"/>
    </font>
    <font>
      <b/>
      <sz val="9"/>
      <color rgb="FF000000"/>
      <name val="Arial"/>
      <family val="2"/>
    </font>
    <font>
      <sz val="10"/>
      <name val="MS Sans Serif"/>
      <charset val="134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</font>
    <font>
      <sz val="10"/>
      <name val="Times New Roman"/>
    </font>
    <font>
      <sz val="11"/>
      <name val="Times New Roman"/>
    </font>
    <font>
      <b/>
      <sz val="1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B7E1C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/>
    <xf numFmtId="0" fontId="1" fillId="0" borderId="0"/>
    <xf numFmtId="43" fontId="12" fillId="0" borderId="0"/>
    <xf numFmtId="43" fontId="1" fillId="0" borderId="0"/>
    <xf numFmtId="164" fontId="13" fillId="0" borderId="0"/>
    <xf numFmtId="165" fontId="14" fillId="0" borderId="5"/>
  </cellStyleXfs>
  <cellXfs count="2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5" fillId="0" borderId="0" xfId="0" applyNumberFormat="1" applyFont="1"/>
    <xf numFmtId="0" fontId="5" fillId="0" borderId="0" xfId="0" applyFont="1"/>
    <xf numFmtId="0" fontId="9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3" xfId="0" applyFont="1" applyFill="1" applyBorder="1"/>
    <xf numFmtId="0" fontId="8" fillId="0" borderId="4" xfId="0" applyFont="1" applyBorder="1"/>
    <xf numFmtId="0" fontId="10" fillId="0" borderId="4" xfId="0" applyFont="1" applyBorder="1" applyAlignment="1">
      <alignment vertical="center"/>
    </xf>
    <xf numFmtId="4" fontId="5" fillId="0" borderId="0" xfId="0" applyNumberFormat="1" applyFont="1"/>
    <xf numFmtId="4" fontId="6" fillId="0" borderId="2" xfId="0" applyNumberFormat="1" applyFont="1" applyBorder="1" applyAlignment="1">
      <alignment vertical="center" shrinkToFit="1"/>
    </xf>
    <xf numFmtId="4" fontId="7" fillId="0" borderId="2" xfId="0" applyNumberFormat="1" applyFont="1" applyBorder="1" applyAlignment="1">
      <alignment vertical="center" shrinkToFit="1"/>
    </xf>
    <xf numFmtId="4" fontId="6" fillId="5" borderId="2" xfId="0" applyNumberFormat="1" applyFont="1" applyFill="1" applyBorder="1" applyAlignment="1">
      <alignment vertical="center" shrinkToFit="1"/>
    </xf>
    <xf numFmtId="4" fontId="5" fillId="5" borderId="0" xfId="0" applyNumberFormat="1" applyFont="1" applyFill="1"/>
    <xf numFmtId="0" fontId="15" fillId="6" borderId="6" xfId="0" applyFont="1" applyFill="1" applyBorder="1" applyAlignment="1">
      <alignment horizontal="center" vertical="center"/>
    </xf>
    <xf numFmtId="0" fontId="0" fillId="7" borderId="0" xfId="0" applyFill="1"/>
    <xf numFmtId="0" fontId="16" fillId="0" borderId="6" xfId="0" applyFont="1" applyBorder="1" applyAlignment="1">
      <alignment wrapText="1"/>
    </xf>
    <xf numFmtId="165" fontId="16" fillId="0" borderId="6" xfId="6" applyFont="1" applyBorder="1" applyAlignment="1">
      <alignment wrapText="1"/>
    </xf>
    <xf numFmtId="4" fontId="16" fillId="0" borderId="6" xfId="0" applyNumberFormat="1" applyFont="1" applyBorder="1" applyAlignment="1">
      <alignment wrapText="1"/>
    </xf>
    <xf numFmtId="0" fontId="17" fillId="0" borderId="6" xfId="0" applyFont="1" applyBorder="1" applyAlignment="1">
      <alignment horizontal="center" vertical="center"/>
    </xf>
    <xf numFmtId="0" fontId="0" fillId="8" borderId="6" xfId="0" applyFill="1" applyBorder="1"/>
    <xf numFmtId="0" fontId="17" fillId="7" borderId="6" xfId="0" applyFont="1" applyFill="1" applyBorder="1" applyAlignment="1">
      <alignment vertical="center"/>
    </xf>
    <xf numFmtId="0" fontId="0" fillId="0" borderId="0" xfId="0"/>
  </cellXfs>
  <cellStyles count="7">
    <cellStyle name="Bình thường" xfId="0" builtinId="0"/>
    <cellStyle name="C:\Data\MS\Excel 11" xfId="1" xr:uid="{00000000-0005-0000-0000-000001000000}"/>
    <cellStyle name="Comma 2 3" xfId="3" xr:uid="{00000000-0005-0000-0000-000003000000}"/>
    <cellStyle name="Comma 4" xfId="4" xr:uid="{00000000-0005-0000-0000-000004000000}"/>
    <cellStyle name="Comma 6 5" xfId="5" xr:uid="{00000000-0005-0000-0000-000005000000}"/>
    <cellStyle name="date_style" xfId="6" xr:uid="{00000000-0005-0000-0000-000006000000}"/>
    <cellStyle name="Normal 6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7365-45EE-4950-A7B6-A81463C95ED5}">
  <dimension ref="A1:EP6"/>
  <sheetViews>
    <sheetView tabSelected="1" workbookViewId="0"/>
  </sheetViews>
  <sheetFormatPr defaultRowHeight="12.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66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57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114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</row>
    <row r="2" spans="1:146">
      <c r="S2">
        <v>1</v>
      </c>
      <c r="T2">
        <v>2</v>
      </c>
      <c r="U2">
        <v>3</v>
      </c>
      <c r="V2">
        <v>4</v>
      </c>
      <c r="W2">
        <v>11</v>
      </c>
      <c r="X2">
        <v>14</v>
      </c>
      <c r="Y2">
        <v>15</v>
      </c>
      <c r="Z2">
        <v>16</v>
      </c>
      <c r="AA2">
        <v>17</v>
      </c>
      <c r="AB2">
        <v>18</v>
      </c>
      <c r="AC2">
        <v>29</v>
      </c>
      <c r="AD2">
        <v>50</v>
      </c>
      <c r="AE2">
        <v>53</v>
      </c>
      <c r="AF2">
        <v>54</v>
      </c>
      <c r="AG2">
        <v>55</v>
      </c>
      <c r="AH2">
        <v>57</v>
      </c>
      <c r="AI2">
        <v>58</v>
      </c>
      <c r="AJ2">
        <v>61</v>
      </c>
      <c r="AK2">
        <v>80</v>
      </c>
      <c r="AL2">
        <v>81</v>
      </c>
      <c r="AM2">
        <v>85</v>
      </c>
      <c r="AN2">
        <v>100</v>
      </c>
      <c r="AO2">
        <v>102</v>
      </c>
      <c r="AP2">
        <v>103</v>
      </c>
      <c r="AQ2">
        <v>104</v>
      </c>
      <c r="AR2">
        <v>105</v>
      </c>
      <c r="AS2">
        <v>106</v>
      </c>
      <c r="AT2">
        <v>107</v>
      </c>
      <c r="AU2">
        <v>109</v>
      </c>
      <c r="AV2">
        <v>110</v>
      </c>
      <c r="AW2">
        <v>130</v>
      </c>
      <c r="AX2">
        <v>131</v>
      </c>
      <c r="AY2">
        <v>132</v>
      </c>
      <c r="AZ2">
        <v>133</v>
      </c>
      <c r="BA2">
        <v>134</v>
      </c>
      <c r="BB2">
        <v>135</v>
      </c>
      <c r="BC2">
        <v>136</v>
      </c>
      <c r="BD2">
        <v>137</v>
      </c>
      <c r="BE2">
        <v>138</v>
      </c>
      <c r="BF2">
        <v>160</v>
      </c>
      <c r="BG2">
        <v>161</v>
      </c>
      <c r="BH2">
        <v>162</v>
      </c>
      <c r="BI2">
        <v>163</v>
      </c>
      <c r="BJ2">
        <v>167</v>
      </c>
      <c r="BK2">
        <v>168</v>
      </c>
      <c r="BL2">
        <v>200</v>
      </c>
      <c r="BM2">
        <v>201</v>
      </c>
      <c r="BN2">
        <v>202</v>
      </c>
      <c r="BO2">
        <v>203</v>
      </c>
      <c r="BP2" t="s">
        <v>192</v>
      </c>
      <c r="BQ2">
        <v>225</v>
      </c>
      <c r="BR2">
        <v>226</v>
      </c>
      <c r="BS2">
        <v>227</v>
      </c>
      <c r="BT2">
        <v>228</v>
      </c>
      <c r="BU2">
        <v>229</v>
      </c>
      <c r="BV2">
        <v>230</v>
      </c>
      <c r="BW2">
        <v>231</v>
      </c>
      <c r="BX2">
        <v>250</v>
      </c>
      <c r="BY2">
        <v>251</v>
      </c>
      <c r="BZ2">
        <v>252</v>
      </c>
      <c r="CA2">
        <v>253</v>
      </c>
      <c r="CB2">
        <v>254</v>
      </c>
      <c r="CC2">
        <v>255</v>
      </c>
      <c r="CD2">
        <v>270</v>
      </c>
      <c r="CE2">
        <v>271</v>
      </c>
      <c r="CF2">
        <v>272</v>
      </c>
      <c r="CG2">
        <v>273</v>
      </c>
      <c r="CH2">
        <v>274</v>
      </c>
      <c r="CI2">
        <v>275</v>
      </c>
      <c r="CJ2">
        <v>276</v>
      </c>
      <c r="CK2">
        <v>277</v>
      </c>
      <c r="CL2">
        <v>278</v>
      </c>
      <c r="CM2">
        <v>300</v>
      </c>
      <c r="CN2">
        <v>301</v>
      </c>
      <c r="CO2">
        <v>302</v>
      </c>
      <c r="CP2">
        <v>303</v>
      </c>
      <c r="CQ2" t="s">
        <v>219</v>
      </c>
      <c r="CR2">
        <v>330</v>
      </c>
      <c r="CS2">
        <v>331</v>
      </c>
      <c r="CT2">
        <v>332</v>
      </c>
      <c r="CU2">
        <v>333</v>
      </c>
      <c r="CV2">
        <v>334</v>
      </c>
      <c r="CW2">
        <v>335</v>
      </c>
      <c r="CX2">
        <v>336</v>
      </c>
      <c r="CY2">
        <v>337</v>
      </c>
      <c r="CZ2">
        <v>338</v>
      </c>
      <c r="DA2">
        <v>339</v>
      </c>
      <c r="DB2">
        <v>350</v>
      </c>
      <c r="DC2">
        <v>351</v>
      </c>
      <c r="DD2">
        <v>352</v>
      </c>
      <c r="DE2">
        <v>353</v>
      </c>
      <c r="DF2">
        <v>354</v>
      </c>
      <c r="DG2">
        <v>355</v>
      </c>
      <c r="DH2">
        <v>356</v>
      </c>
      <c r="DI2">
        <v>357</v>
      </c>
      <c r="DJ2">
        <v>358</v>
      </c>
      <c r="DK2">
        <v>359</v>
      </c>
      <c r="DL2">
        <v>360</v>
      </c>
      <c r="DM2">
        <v>361</v>
      </c>
      <c r="DN2">
        <v>363</v>
      </c>
      <c r="DO2">
        <v>400</v>
      </c>
      <c r="DP2">
        <v>401</v>
      </c>
      <c r="DQ2">
        <v>402</v>
      </c>
      <c r="DR2">
        <v>403</v>
      </c>
      <c r="DS2">
        <v>404</v>
      </c>
      <c r="DT2">
        <v>405</v>
      </c>
      <c r="DU2">
        <v>406</v>
      </c>
      <c r="DV2">
        <v>407</v>
      </c>
      <c r="DW2">
        <v>408</v>
      </c>
      <c r="DX2">
        <v>409</v>
      </c>
      <c r="DY2">
        <v>410</v>
      </c>
      <c r="DZ2">
        <v>450</v>
      </c>
      <c r="EA2">
        <v>451</v>
      </c>
      <c r="EB2">
        <v>452</v>
      </c>
      <c r="EC2">
        <v>453</v>
      </c>
      <c r="ED2">
        <v>454</v>
      </c>
      <c r="EE2">
        <v>455</v>
      </c>
      <c r="EF2">
        <v>456</v>
      </c>
      <c r="EG2">
        <v>457</v>
      </c>
      <c r="EH2">
        <v>458</v>
      </c>
      <c r="EI2">
        <v>459</v>
      </c>
      <c r="EJ2">
        <v>460</v>
      </c>
      <c r="EK2">
        <v>461</v>
      </c>
      <c r="EL2">
        <v>500</v>
      </c>
      <c r="EM2">
        <v>501</v>
      </c>
      <c r="EN2">
        <v>502</v>
      </c>
      <c r="EO2">
        <v>600</v>
      </c>
      <c r="EP2" t="s">
        <v>270</v>
      </c>
    </row>
    <row r="3" spans="1:146">
      <c r="A3">
        <v>1</v>
      </c>
      <c r="B3" t="s">
        <v>271</v>
      </c>
      <c r="D3" t="s">
        <v>272</v>
      </c>
      <c r="S3">
        <v>0</v>
      </c>
      <c r="T3">
        <v>10000000</v>
      </c>
      <c r="U3">
        <v>10000000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22</v>
      </c>
      <c r="AE3">
        <v>22</v>
      </c>
      <c r="AF3">
        <v>0</v>
      </c>
      <c r="AG3">
        <v>0</v>
      </c>
      <c r="AH3">
        <v>22</v>
      </c>
      <c r="AI3">
        <v>0</v>
      </c>
      <c r="AJ3">
        <v>0</v>
      </c>
      <c r="AK3">
        <v>10000000</v>
      </c>
      <c r="AL3">
        <v>0</v>
      </c>
      <c r="AM3">
        <v>10000000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10000000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10000000</v>
      </c>
      <c r="BX3">
        <v>800000</v>
      </c>
      <c r="BY3">
        <v>150000</v>
      </c>
      <c r="BZ3">
        <v>100000</v>
      </c>
      <c r="CA3">
        <v>0</v>
      </c>
      <c r="CB3">
        <v>0</v>
      </c>
      <c r="CC3">
        <v>1050000</v>
      </c>
      <c r="CD3">
        <v>0</v>
      </c>
      <c r="CE3">
        <v>12050000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45000</v>
      </c>
      <c r="CO3">
        <v>0</v>
      </c>
      <c r="CP3">
        <v>0</v>
      </c>
      <c r="CQ3">
        <v>8905000</v>
      </c>
      <c r="CR3">
        <v>1700000.0000000002</v>
      </c>
      <c r="CS3">
        <v>300000</v>
      </c>
      <c r="CT3">
        <v>100000</v>
      </c>
      <c r="CU3">
        <v>50000</v>
      </c>
      <c r="CV3">
        <v>0</v>
      </c>
      <c r="CW3">
        <v>0</v>
      </c>
      <c r="CX3">
        <v>2150000</v>
      </c>
      <c r="CY3">
        <v>200000</v>
      </c>
      <c r="CZ3">
        <v>0</v>
      </c>
      <c r="DA3">
        <v>10000</v>
      </c>
      <c r="DB3">
        <v>0</v>
      </c>
      <c r="DC3">
        <v>30000</v>
      </c>
      <c r="DD3">
        <v>115666.66666666667</v>
      </c>
      <c r="DE3">
        <v>0</v>
      </c>
      <c r="DF3">
        <v>0</v>
      </c>
      <c r="DG3">
        <v>416666.66666666669</v>
      </c>
      <c r="DH3">
        <v>454545.45454545453</v>
      </c>
      <c r="DI3">
        <v>0</v>
      </c>
      <c r="DJ3">
        <v>0</v>
      </c>
      <c r="DK3">
        <v>0</v>
      </c>
      <c r="DL3">
        <v>0</v>
      </c>
      <c r="DM3">
        <v>1016878.7878787878</v>
      </c>
      <c r="DN3">
        <v>0</v>
      </c>
      <c r="DO3">
        <v>13376878.787878787</v>
      </c>
      <c r="DP3">
        <v>936381.51515151514</v>
      </c>
      <c r="DQ3">
        <v>0</v>
      </c>
      <c r="DR3">
        <v>0</v>
      </c>
      <c r="DS3">
        <v>936381.51515151514</v>
      </c>
      <c r="DT3">
        <v>0</v>
      </c>
      <c r="DU3">
        <v>14313260.303030303</v>
      </c>
      <c r="DV3">
        <v>1431326</v>
      </c>
      <c r="DW3">
        <v>15744586.303030303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P3">
        <v>0</v>
      </c>
    </row>
    <row r="4" spans="1:146">
      <c r="A4">
        <v>2</v>
      </c>
      <c r="B4" t="s">
        <v>273</v>
      </c>
      <c r="D4" t="s">
        <v>274</v>
      </c>
      <c r="S4">
        <v>0</v>
      </c>
      <c r="T4">
        <v>11200000</v>
      </c>
      <c r="U4">
        <v>11200000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22</v>
      </c>
      <c r="AE4">
        <v>22</v>
      </c>
      <c r="AF4">
        <v>0</v>
      </c>
      <c r="AG4">
        <v>0</v>
      </c>
      <c r="AH4">
        <v>22</v>
      </c>
      <c r="AI4">
        <v>0</v>
      </c>
      <c r="AJ4">
        <v>0</v>
      </c>
      <c r="AK4">
        <v>11200000</v>
      </c>
      <c r="AL4">
        <v>0</v>
      </c>
      <c r="AM4">
        <v>11200000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</v>
      </c>
      <c r="AZ4">
        <v>0</v>
      </c>
      <c r="BA4">
        <v>0</v>
      </c>
      <c r="BB4">
        <v>0</v>
      </c>
      <c r="BC4">
        <v>0</v>
      </c>
      <c r="BD4">
        <v>80</v>
      </c>
      <c r="BE4">
        <v>2545454.5454545454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13745454.545454545</v>
      </c>
      <c r="BQ4">
        <v>0</v>
      </c>
      <c r="BR4">
        <v>1527273</v>
      </c>
      <c r="BS4">
        <v>0</v>
      </c>
      <c r="BT4">
        <v>509091</v>
      </c>
      <c r="BU4">
        <v>0</v>
      </c>
      <c r="BV4">
        <v>2036364</v>
      </c>
      <c r="BW4">
        <v>11709090.545454545</v>
      </c>
      <c r="BX4">
        <v>896000</v>
      </c>
      <c r="BY4">
        <v>168000</v>
      </c>
      <c r="BZ4">
        <v>112000</v>
      </c>
      <c r="CA4">
        <v>0</v>
      </c>
      <c r="CB4">
        <v>0</v>
      </c>
      <c r="CC4">
        <v>1176000</v>
      </c>
      <c r="CD4">
        <v>0</v>
      </c>
      <c r="CE4">
        <v>12176000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45000</v>
      </c>
      <c r="CO4">
        <v>0</v>
      </c>
      <c r="CP4">
        <v>0</v>
      </c>
      <c r="CQ4">
        <v>12524454.545454545</v>
      </c>
      <c r="CR4">
        <v>1904000.0000000002</v>
      </c>
      <c r="CS4">
        <v>336000</v>
      </c>
      <c r="CT4">
        <v>112000</v>
      </c>
      <c r="CU4">
        <v>56000</v>
      </c>
      <c r="CV4">
        <v>0</v>
      </c>
      <c r="CW4">
        <v>0</v>
      </c>
      <c r="CX4">
        <v>2408000</v>
      </c>
      <c r="CY4">
        <v>224000</v>
      </c>
      <c r="CZ4">
        <v>0</v>
      </c>
      <c r="DA4">
        <v>11200</v>
      </c>
      <c r="DB4">
        <v>0</v>
      </c>
      <c r="DC4">
        <v>30000</v>
      </c>
      <c r="DD4">
        <v>115666.66666666667</v>
      </c>
      <c r="DE4">
        <v>0</v>
      </c>
      <c r="DF4">
        <v>0</v>
      </c>
      <c r="DG4">
        <v>466666.66666666669</v>
      </c>
      <c r="DH4">
        <v>509090.90909090912</v>
      </c>
      <c r="DI4">
        <v>0</v>
      </c>
      <c r="DJ4">
        <v>0</v>
      </c>
      <c r="DK4">
        <v>0</v>
      </c>
      <c r="DL4">
        <v>0</v>
      </c>
      <c r="DM4">
        <v>1121424.2424242424</v>
      </c>
      <c r="DN4">
        <v>0</v>
      </c>
      <c r="DO4">
        <v>17510078.787878789</v>
      </c>
      <c r="DP4">
        <v>1225705.5151515154</v>
      </c>
      <c r="DQ4">
        <v>0</v>
      </c>
      <c r="DR4">
        <v>0</v>
      </c>
      <c r="DS4">
        <v>1225705.5151515154</v>
      </c>
      <c r="DT4">
        <v>0</v>
      </c>
      <c r="DU4">
        <v>18735784.303030305</v>
      </c>
      <c r="DV4">
        <v>1873578</v>
      </c>
      <c r="DW4">
        <v>20609362.303030305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P4">
        <v>0</v>
      </c>
    </row>
    <row r="5" spans="1:146">
      <c r="A5">
        <v>3</v>
      </c>
      <c r="B5" t="s">
        <v>275</v>
      </c>
      <c r="D5" t="s">
        <v>276</v>
      </c>
      <c r="S5">
        <v>0</v>
      </c>
      <c r="T5">
        <v>10000000</v>
      </c>
      <c r="U5">
        <v>10000000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22</v>
      </c>
      <c r="AE5">
        <v>21</v>
      </c>
      <c r="AF5">
        <v>1</v>
      </c>
      <c r="AG5">
        <v>0</v>
      </c>
      <c r="AH5">
        <v>22</v>
      </c>
      <c r="AI5">
        <v>0</v>
      </c>
      <c r="AJ5">
        <v>0</v>
      </c>
      <c r="AK5">
        <v>10000000</v>
      </c>
      <c r="AL5">
        <v>0</v>
      </c>
      <c r="AM5">
        <v>10000000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16</v>
      </c>
      <c r="AZ5">
        <v>0</v>
      </c>
      <c r="BA5">
        <v>0</v>
      </c>
      <c r="BB5">
        <v>0</v>
      </c>
      <c r="BC5">
        <v>0</v>
      </c>
      <c r="BD5">
        <v>16</v>
      </c>
      <c r="BE5">
        <v>2090909.0909090906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12090909.09090909</v>
      </c>
      <c r="BQ5">
        <v>0</v>
      </c>
      <c r="BR5">
        <v>272727</v>
      </c>
      <c r="BS5">
        <v>0</v>
      </c>
      <c r="BT5">
        <v>909091</v>
      </c>
      <c r="BU5">
        <v>0</v>
      </c>
      <c r="BV5">
        <v>1181818</v>
      </c>
      <c r="BW5">
        <v>10909091.09090909</v>
      </c>
      <c r="BX5">
        <v>800000</v>
      </c>
      <c r="BY5">
        <v>150000</v>
      </c>
      <c r="BZ5">
        <v>100000</v>
      </c>
      <c r="CA5">
        <v>0</v>
      </c>
      <c r="CB5">
        <v>0</v>
      </c>
      <c r="CC5">
        <v>1050000</v>
      </c>
      <c r="CD5">
        <v>0</v>
      </c>
      <c r="CE5">
        <v>12050000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45000</v>
      </c>
      <c r="CO5">
        <v>0</v>
      </c>
      <c r="CP5">
        <v>0</v>
      </c>
      <c r="CQ5">
        <v>10995909.09090909</v>
      </c>
      <c r="CR5">
        <v>1700000.0000000002</v>
      </c>
      <c r="CS5">
        <v>300000</v>
      </c>
      <c r="CT5">
        <v>100000</v>
      </c>
      <c r="CU5">
        <v>50000</v>
      </c>
      <c r="CV5">
        <v>0</v>
      </c>
      <c r="CW5">
        <v>0</v>
      </c>
      <c r="CX5">
        <v>2150000</v>
      </c>
      <c r="CY5">
        <v>200000</v>
      </c>
      <c r="CZ5">
        <v>0</v>
      </c>
      <c r="DA5">
        <v>10000</v>
      </c>
      <c r="DB5">
        <v>0</v>
      </c>
      <c r="DC5">
        <v>30000</v>
      </c>
      <c r="DD5">
        <v>115666.66666666667</v>
      </c>
      <c r="DE5">
        <v>0</v>
      </c>
      <c r="DF5">
        <v>0</v>
      </c>
      <c r="DG5">
        <v>416666.66666666669</v>
      </c>
      <c r="DH5">
        <v>454545.45454545453</v>
      </c>
      <c r="DI5">
        <v>0</v>
      </c>
      <c r="DJ5">
        <v>0</v>
      </c>
      <c r="DK5">
        <v>0</v>
      </c>
      <c r="DL5">
        <v>0</v>
      </c>
      <c r="DM5">
        <v>1016878.7878787878</v>
      </c>
      <c r="DN5">
        <v>0</v>
      </c>
      <c r="DO5">
        <v>15467787.878787877</v>
      </c>
      <c r="DP5">
        <v>1082745.1515151516</v>
      </c>
      <c r="DQ5">
        <v>0</v>
      </c>
      <c r="DR5">
        <v>0</v>
      </c>
      <c r="DS5">
        <v>1082745.1515151516</v>
      </c>
      <c r="DT5">
        <v>454545.45454545453</v>
      </c>
      <c r="DU5">
        <v>16550533.030303029</v>
      </c>
      <c r="DV5">
        <v>1655053</v>
      </c>
      <c r="DW5">
        <v>18205586.030303031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454545.45454545453</v>
      </c>
      <c r="EG5">
        <v>0</v>
      </c>
      <c r="EH5">
        <v>0</v>
      </c>
      <c r="EI5">
        <v>0</v>
      </c>
      <c r="EJ5">
        <v>0</v>
      </c>
      <c r="EK5">
        <v>454545.45454545453</v>
      </c>
      <c r="EP5">
        <v>0</v>
      </c>
    </row>
    <row r="6" spans="1:146">
      <c r="A6">
        <v>4</v>
      </c>
      <c r="B6" t="s">
        <v>277</v>
      </c>
      <c r="D6" t="s">
        <v>278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22</v>
      </c>
      <c r="AE6">
        <v>22</v>
      </c>
      <c r="AF6">
        <v>0</v>
      </c>
      <c r="AG6">
        <v>0</v>
      </c>
      <c r="AH6">
        <v>22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45000</v>
      </c>
      <c r="CO6">
        <v>0</v>
      </c>
      <c r="CP6">
        <v>0</v>
      </c>
      <c r="CQ6">
        <v>-45000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30000</v>
      </c>
      <c r="DD6">
        <v>115666.66666666667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145666.66666666669</v>
      </c>
      <c r="DN6">
        <v>0</v>
      </c>
      <c r="DO6">
        <v>145666.66666666669</v>
      </c>
      <c r="DP6">
        <v>10196.66666666667</v>
      </c>
      <c r="DQ6">
        <v>0</v>
      </c>
      <c r="DR6">
        <v>0</v>
      </c>
      <c r="DS6">
        <v>10196.66666666667</v>
      </c>
      <c r="DT6">
        <v>0</v>
      </c>
      <c r="DU6">
        <v>155863.33333333334</v>
      </c>
      <c r="DV6">
        <v>15586</v>
      </c>
      <c r="DW6">
        <v>171449.33333333334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N6"/>
  <sheetViews>
    <sheetView topLeftCell="CK1" zoomScaleNormal="100" zoomScalePageLayoutView="60" workbookViewId="0">
      <selection activeCell="CN4" sqref="CN4"/>
    </sheetView>
  </sheetViews>
  <sheetFormatPr defaultColWidth="11.54296875" defaultRowHeight="13"/>
  <cols>
    <col min="1" max="1" width="8.7265625" style="12" customWidth="1"/>
    <col min="2" max="2" width="30.1796875" style="12" customWidth="1"/>
    <col min="3" max="3" width="24.1796875" style="12" customWidth="1"/>
    <col min="4" max="4" width="36" style="12" customWidth="1"/>
    <col min="5" max="5" width="32.81640625" style="12" customWidth="1"/>
    <col min="6" max="6" width="43.08984375" style="12" customWidth="1"/>
    <col min="7" max="7" width="45.08984375" style="12" customWidth="1"/>
    <col min="8" max="8" width="27.81640625" style="12" customWidth="1"/>
    <col min="9" max="11" width="55.08984375" style="12" customWidth="1"/>
    <col min="12" max="12" width="38.36328125" style="12" customWidth="1"/>
    <col min="13" max="13" width="42.7265625" style="12" customWidth="1"/>
    <col min="14" max="14" width="29.90625" style="12" customWidth="1"/>
    <col min="15" max="15" width="38.90625" style="12" customWidth="1"/>
    <col min="16" max="16" width="22.26953125" style="12" customWidth="1"/>
    <col min="17" max="17" width="22.6328125" style="12" customWidth="1"/>
    <col min="18" max="19" width="11.54296875" style="12" customWidth="1"/>
    <col min="20" max="147" width="14.6328125" style="12" customWidth="1"/>
    <col min="148" max="148" width="11.54296875" style="12" customWidth="1"/>
    <col min="149" max="16384" width="11.54296875" style="12"/>
  </cols>
  <sheetData>
    <row r="1" spans="1:1080" ht="6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66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57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114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</row>
    <row r="2" spans="1:1080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6"/>
      <c r="S2" s="6" t="s">
        <v>143</v>
      </c>
      <c r="T2" s="6" t="s">
        <v>144</v>
      </c>
      <c r="U2" s="6" t="s">
        <v>145</v>
      </c>
      <c r="V2" s="6" t="s">
        <v>146</v>
      </c>
      <c r="W2" s="6" t="s">
        <v>147</v>
      </c>
      <c r="X2" s="6" t="s">
        <v>148</v>
      </c>
      <c r="Y2" s="6" t="s">
        <v>149</v>
      </c>
      <c r="Z2" s="6" t="s">
        <v>150</v>
      </c>
      <c r="AA2" s="6" t="s">
        <v>151</v>
      </c>
      <c r="AB2" s="6" t="s">
        <v>152</v>
      </c>
      <c r="AC2" s="6" t="s">
        <v>153</v>
      </c>
      <c r="AD2" s="6" t="s">
        <v>154</v>
      </c>
      <c r="AE2" s="6" t="s">
        <v>155</v>
      </c>
      <c r="AF2" s="6" t="s">
        <v>156</v>
      </c>
      <c r="AG2" s="6" t="s">
        <v>157</v>
      </c>
      <c r="AH2" s="6" t="s">
        <v>158</v>
      </c>
      <c r="AI2" s="6" t="s">
        <v>159</v>
      </c>
      <c r="AJ2" s="6" t="s">
        <v>160</v>
      </c>
      <c r="AK2" s="6" t="s">
        <v>161</v>
      </c>
      <c r="AL2" s="6" t="s">
        <v>162</v>
      </c>
      <c r="AM2" s="6" t="s">
        <v>163</v>
      </c>
      <c r="AN2" s="6" t="s">
        <v>164</v>
      </c>
      <c r="AO2" s="6" t="s">
        <v>165</v>
      </c>
      <c r="AP2" s="6" t="s">
        <v>166</v>
      </c>
      <c r="AQ2" s="6" t="s">
        <v>167</v>
      </c>
      <c r="AR2" s="6" t="s">
        <v>168</v>
      </c>
      <c r="AS2" s="6" t="s">
        <v>169</v>
      </c>
      <c r="AT2" s="6" t="s">
        <v>170</v>
      </c>
      <c r="AU2" s="6" t="s">
        <v>171</v>
      </c>
      <c r="AV2" s="6" t="s">
        <v>172</v>
      </c>
      <c r="AW2" s="6" t="s">
        <v>173</v>
      </c>
      <c r="AX2" s="6" t="s">
        <v>174</v>
      </c>
      <c r="AY2" s="6" t="s">
        <v>175</v>
      </c>
      <c r="AZ2" s="6" t="s">
        <v>176</v>
      </c>
      <c r="BA2" s="6" t="s">
        <v>177</v>
      </c>
      <c r="BB2" s="6" t="s">
        <v>178</v>
      </c>
      <c r="BC2" s="6" t="s">
        <v>179</v>
      </c>
      <c r="BD2" s="6" t="s">
        <v>180</v>
      </c>
      <c r="BE2" s="6" t="s">
        <v>181</v>
      </c>
      <c r="BF2" s="6" t="s">
        <v>182</v>
      </c>
      <c r="BG2" s="6" t="s">
        <v>183</v>
      </c>
      <c r="BH2" s="6" t="s">
        <v>184</v>
      </c>
      <c r="BI2" s="6" t="s">
        <v>185</v>
      </c>
      <c r="BJ2" s="6" t="s">
        <v>186</v>
      </c>
      <c r="BK2" s="6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215</v>
      </c>
      <c r="CN2" t="s">
        <v>216</v>
      </c>
      <c r="CO2" t="s">
        <v>217</v>
      </c>
      <c r="CP2" t="s">
        <v>218</v>
      </c>
      <c r="CQ2" t="s">
        <v>219</v>
      </c>
      <c r="CR2" t="s">
        <v>220</v>
      </c>
      <c r="CS2" t="s">
        <v>221</v>
      </c>
      <c r="CT2" t="s">
        <v>222</v>
      </c>
      <c r="CU2" t="s">
        <v>223</v>
      </c>
      <c r="CV2" t="s">
        <v>224</v>
      </c>
      <c r="CW2" t="s">
        <v>225</v>
      </c>
      <c r="CX2" t="s">
        <v>226</v>
      </c>
      <c r="CY2" t="s">
        <v>227</v>
      </c>
      <c r="CZ2" t="s">
        <v>228</v>
      </c>
      <c r="DA2" t="s">
        <v>229</v>
      </c>
      <c r="DB2" t="s">
        <v>230</v>
      </c>
      <c r="DC2" t="s">
        <v>231</v>
      </c>
      <c r="DD2" t="s">
        <v>232</v>
      </c>
      <c r="DE2" t="s">
        <v>233</v>
      </c>
      <c r="DF2" t="s">
        <v>234</v>
      </c>
      <c r="DG2" t="s">
        <v>235</v>
      </c>
      <c r="DH2" t="s">
        <v>236</v>
      </c>
      <c r="DI2" t="s">
        <v>237</v>
      </c>
      <c r="DJ2" t="s">
        <v>238</v>
      </c>
      <c r="DK2" t="s">
        <v>239</v>
      </c>
      <c r="DL2" t="s">
        <v>240</v>
      </c>
      <c r="DM2" t="s">
        <v>241</v>
      </c>
      <c r="DN2" t="s">
        <v>242</v>
      </c>
      <c r="DO2" t="s">
        <v>243</v>
      </c>
      <c r="DP2" t="s">
        <v>244</v>
      </c>
      <c r="DQ2" t="s">
        <v>245</v>
      </c>
      <c r="DR2" t="s">
        <v>246</v>
      </c>
      <c r="DS2" t="s">
        <v>247</v>
      </c>
      <c r="DT2" t="s">
        <v>248</v>
      </c>
      <c r="DU2" t="s">
        <v>249</v>
      </c>
      <c r="DV2" t="s">
        <v>250</v>
      </c>
      <c r="DW2" t="s">
        <v>251</v>
      </c>
      <c r="DX2" t="s">
        <v>252</v>
      </c>
      <c r="DY2" t="s">
        <v>253</v>
      </c>
      <c r="DZ2" t="s">
        <v>254</v>
      </c>
      <c r="EA2" t="s">
        <v>255</v>
      </c>
      <c r="EB2" t="s">
        <v>256</v>
      </c>
      <c r="EC2" t="s">
        <v>257</v>
      </c>
      <c r="ED2" t="s">
        <v>258</v>
      </c>
      <c r="EE2" t="s">
        <v>259</v>
      </c>
      <c r="EF2" t="s">
        <v>260</v>
      </c>
      <c r="EG2" t="s">
        <v>261</v>
      </c>
      <c r="EH2" t="s">
        <v>262</v>
      </c>
      <c r="EI2" t="s">
        <v>263</v>
      </c>
      <c r="EJ2" t="s">
        <v>264</v>
      </c>
      <c r="EK2" t="s">
        <v>265</v>
      </c>
      <c r="EL2" t="s">
        <v>266</v>
      </c>
      <c r="EM2" t="s">
        <v>267</v>
      </c>
      <c r="EN2" t="s">
        <v>268</v>
      </c>
      <c r="EO2" t="s">
        <v>269</v>
      </c>
      <c r="EP2" t="s">
        <v>270</v>
      </c>
    </row>
    <row r="3" spans="1:1080">
      <c r="A3">
        <v>1</v>
      </c>
      <c r="B3" t="s">
        <v>271</v>
      </c>
      <c r="D3" t="s">
        <v>272</v>
      </c>
      <c r="S3" s="12">
        <f>IFERROR(INDEX(PIS!$A$1:$BZ$1000,MATCH($D3,PIS!C$1:C$500,0),MATCH("Lương CB tháng trước",PIS!$1:$1,0)),0)</f>
        <v>0</v>
      </c>
      <c r="T3" s="12">
        <f>IFERROR(INDEX(PIS!$A$1:$BZ$1000,MATCH($D3,PIS!C$1:C$500,0),MATCH("Lương CB hiện tại",PIS!$1:$1,0)),0)</f>
        <v>10000000</v>
      </c>
      <c r="U3" s="12">
        <f>IFERROR(INDEX(PIS!$A$1:$BZ$1000,MATCH($D3,PIS!C$1:C$500,0),MATCH("Lương đóng BHBB",PIS!$1:$1,0)),0)</f>
        <v>10000000</v>
      </c>
      <c r="V3" s="12">
        <f>IFERROR(INDEX(PIS!$A$1:$BZ$1000,MATCH($D3,PIS!C$1:C$500,0),MATCH(V$2,PIS!$2:$2,0)),0)</f>
        <v>0</v>
      </c>
      <c r="W3" s="12">
        <f>IFERROR(INDEX(PIS!$A$1:$BZ$1000,MATCH($D3,PIS!C$1:C$500,0),MATCH(W$2,PIS!$2:$2,0)),0)</f>
        <v>0</v>
      </c>
      <c r="X3" s="12">
        <f>IFERROR(INDEX(PIS!$A$1:$BZ$1000,MATCH($D3,PIS!C$1:C$500,0),MATCH(X$2,PIS!$2:$2,0)),0)</f>
        <v>0</v>
      </c>
      <c r="Y3" s="12">
        <f>IFERROR(INDEX(PIS!$A$1:$BZ$1000,MATCH($D3,PIS!C$1:C$500,0),MATCH(Y$2,PIS!$2:$2,0)),0)</f>
        <v>0</v>
      </c>
      <c r="Z3" s="12">
        <f>IFERROR(INDEX(PIS!$A$1:$BZ$1000,MATCH($D3,PIS!C$1:C$500,0),MATCH(Z$2,PIS!$2:$2,0)),0)</f>
        <v>0</v>
      </c>
      <c r="AA3" s="12">
        <f>IFERROR(INDEX(PIS!$A$1:$BZ$1000,MATCH($D3,PIS!C$1:C$500,0),MATCH(AA$2,PIS!$2:$2,0)),0)</f>
        <v>0</v>
      </c>
      <c r="AB3" s="12">
        <f>IFERROR(INDEX(PIS!$A$1:$BZ$1000,MATCH($D3,PIS!C$1:C$500,0),MATCH(AB$2,PIS!$2:$2,0)),0)</f>
        <v>0</v>
      </c>
      <c r="AC3" s="13">
        <f>SUM(V3:AB3)</f>
        <v>0</v>
      </c>
      <c r="AD3" s="12">
        <f>IFERROR(INDEX(TIMESHEET!$A$1:$AI$5000,MATCH($D3,TIMESHEET!A$1:A$500,0),MATCH("T100",TIMESHEET!$2:$2,0)),0)</f>
        <v>22</v>
      </c>
      <c r="AE3" s="12">
        <f>IFERROR(INDEX(TIMESHEET!$A$1:$AI$5000,MATCH($D3,TIMESHEET!A$1:A$500,0),MATCH("T202",TIMESHEET!$2:$2,0)),0)</f>
        <v>22</v>
      </c>
      <c r="AF3" s="12">
        <f>IFERROR(INDEX(TIMESHEET!$A$1:$AI$5000,MATCH($D3,TIMESHEET!A$1:A$500,0),MATCH("T302",TIMESHEET!$2:$2,0)),0)</f>
        <v>0</v>
      </c>
      <c r="AG3" s="12">
        <f>IFERROR(INDEX(TIMESHEET!$A$1:$AI$5000,MATCH($D3,TIMESHEET!A$1:A$500,0),MATCH("T406",TIMESHEET!$2:$2,0)),0)</f>
        <v>0</v>
      </c>
      <c r="AH3" s="12">
        <f>AE3+AG3+AF3</f>
        <v>22</v>
      </c>
      <c r="AI3" s="12">
        <f>IFERROR(INDEX(TIMESHEET!$A$1:$AI$5000,MATCH($D3,TIMESHEET!A$1:A$500,0),MATCH("T409",TIMESHEET!$2:$2,0)),0)</f>
        <v>0</v>
      </c>
      <c r="AJ3" s="12">
        <f>IF(AD3-AE3&lt;0,0,AD3-AE3-AF3-AG3)</f>
        <v>0</v>
      </c>
      <c r="AK3" s="12">
        <f>IFERROR((T3/AD3*(AD3-AJ3)+T3/AD3*AI3*0.7),0)</f>
        <v>10000000</v>
      </c>
      <c r="AL3" s="13">
        <f>IFERROR(INDEX(ADJ!$A$1:$BZ$1000,MATCH(PAYROLL!D3,ADJ!A$1:A$500,0),MATCH(PAYROLL!AL$2,ADJ!$2:$2,0)),0)</f>
        <v>0</v>
      </c>
      <c r="AM3" s="12">
        <f>SUM(AK3:AL3)</f>
        <v>10000000</v>
      </c>
      <c r="AN3" s="13">
        <f t="shared" ref="AN3:AO6" si="0">IFERROR(ROUND(V3/$AD3*$AH3,0),0)</f>
        <v>0</v>
      </c>
      <c r="AO3" s="13">
        <f t="shared" si="0"/>
        <v>0</v>
      </c>
      <c r="AP3" s="13">
        <f>IFERROR(ROUND(X3/$AD3*$AE3,0),0)</f>
        <v>0</v>
      </c>
      <c r="AQ3" s="13">
        <f t="shared" ref="AQ3:AS6" si="1">IFERROR(ROUND(Y3/$AD3*$AH3,0),0)</f>
        <v>0</v>
      </c>
      <c r="AR3" s="13">
        <f t="shared" si="1"/>
        <v>0</v>
      </c>
      <c r="AS3" s="15">
        <f t="shared" si="1"/>
        <v>0</v>
      </c>
      <c r="AT3" s="16">
        <f>IFERROR(IF((AE3+AF3+AG3)&gt;13,AB3,ROUND(AB3/AD3*AH3,0)),0)</f>
        <v>0</v>
      </c>
      <c r="AU3" s="12">
        <f>IFERROR(INDEX(ADJ!$A$1:$BZ$1000,MATCH(PAYROLL!D3,ADJ!A$1:A$500,0),MATCH(PAYROLL!AU$2,ADJ!$2:$2,0)),0)</f>
        <v>0</v>
      </c>
      <c r="AV3" s="12">
        <f>ROUND(SUM(AN3:AU3),0)</f>
        <v>0</v>
      </c>
      <c r="AW3" s="13">
        <f>IFERROR(INDEX(TIMESHEET!$A$1:$AI$5000,MATCH(PAYROLL!D3,TIMESHEET!A$1:A$500,0),MATCH("T620",TIMESHEET!$2:$2,0)),0)</f>
        <v>0</v>
      </c>
      <c r="AX3" s="12">
        <f>IFERROR(INDEX(TIMESHEET!$A$1:$AI$5000,MATCH(PAYROLL!D3,TIMESHEET!A$1:A$500,0),MATCH("T601",TIMESHEET!$2:$2,0)),0)</f>
        <v>0</v>
      </c>
      <c r="AY3" s="12">
        <f>IFERROR(INDEX(TIMESHEET!$A$1:$AI$5000,MATCH(PAYROLL!D3,TIMESHEET!A$1:A$500,0),MATCH("T602",TIMESHEET!$2:$2,0)),0)</f>
        <v>0</v>
      </c>
      <c r="AZ3" s="12">
        <f>IFERROR(INDEX(TIMESHEET!$A$1:$AI$5000,MATCH(PAYROLL!D3,TIMESHEET!A$1:A$500,0),MATCH("T603",TIMESHEET!$2:$2,0)),0)</f>
        <v>0</v>
      </c>
      <c r="BA3" s="12">
        <f>IFERROR(INDEX(TIMESHEET!$A$1:$AI$5000,MATCH(PAYROLL!D3,TIMESHEET!A$1:A$500,0),MATCH("T611",TIMESHEET!$2:$2,0)),0)</f>
        <v>0</v>
      </c>
      <c r="BB3" s="12">
        <f>IFERROR(INDEX(TIMESHEET!$A$1:$AI$5000,MATCH(PAYROLL!D3,TIMESHEET!A$1:A$500,0),MATCH("T612",TIMESHEET!$2:$2,0)),0)</f>
        <v>0</v>
      </c>
      <c r="BC3" s="12">
        <f>IFERROR(INDEX(TIMESHEET!$A$1:$AI$5000,MATCH(PAYROLL!D3,TIMESHEET!A$1:A$500,0),MATCH("T613",TIMESHEET!$2:$2,0)),0)</f>
        <v>0</v>
      </c>
      <c r="BD3" s="12">
        <f>IFERROR(INDEX(TIMESHEET!$A$1:$AI$5000,MATCH(PAYROLL!D3,TIMESHEET!A$1:A$500,0),MATCH("T500",TIMESHEET!$2:$2,0)),0)</f>
        <v>0</v>
      </c>
      <c r="BE3" s="12">
        <f>IFERROR(IF(LEFT(INDEX(PIS!O$1:O$500,MATCH(D3,PIS!C$1:C$500,0)),1)="M",T3/AD3/8*(AW3+AX3*1.5+AY3*2+AZ3*3+BA3*2.1+BB3*2.7+BC3*3.9+BD3*0.3),T3/8*(AW3+AX3*1.5+AY3*2+AZ3*3+BA3*2.1+BB3*2.7+BC3*3.9+BD3*0.3)),0)</f>
        <v>0</v>
      </c>
      <c r="BF3" s="13">
        <f>IFERROR(INDEX(ADJ!$A$1:$BZ$1000,MATCH(PAYROLL!$D3,ADJ!A$1:A$500,0),MATCH(PAYROLL!BF$2,ADJ!$2:$2,0)),0)</f>
        <v>0</v>
      </c>
      <c r="BG3" s="13">
        <f>IFERROR(INDEX(ADJ!$A$1:$BZ$1000,MATCH(PAYROLL!D3,ADJ!A$1:A$500,0),MATCH(PAYROLL!BG$2,ADJ!$2:$2,0)),0)</f>
        <v>0</v>
      </c>
      <c r="BH3" s="13">
        <f>IFERROR(INDEX(ADJ!$A$1:$BZ$1000,MATCH(PAYROLL!D3,ADJ!A$1:A$500,0),MATCH(PAYROLL!BH$2,ADJ!$2:$2,0)),0)</f>
        <v>0</v>
      </c>
      <c r="BI3" s="13">
        <f>IFERROR(INDEX(ADJ!$A$1:$BZ$1000,MATCH(PAYROLL!D3,ADJ!A$1:A$500,0),MATCH(PAYROLL!BI$2,ADJ!$2:$2,0)),0)</f>
        <v>0</v>
      </c>
      <c r="BJ3" s="13">
        <f>IFERROR(INDEX(ADJ!$A$1:$BZ$1000,MATCH(PAYROLL!D3,ADJ!A$1:A$500,0),MATCH(PAYROLL!BJ$2,ADJ!$2:$2,0)),0)</f>
        <v>0</v>
      </c>
      <c r="BK3" s="12">
        <f>SUM(BF3:BJ3)</f>
        <v>0</v>
      </c>
      <c r="BL3" s="13">
        <f>IFERROR(INDEX(ADJ!$A$1:$BZ$1000,MATCH(PAYROLL!D3,ADJ!A$1:A$500,0),MATCH(PAYROLL!BL$2,ADJ!$2:$2,0)),0)</f>
        <v>0</v>
      </c>
      <c r="BM3" s="13">
        <f>IFERROR(INDEX(ADJ!$A$1:$BZ$1000,MATCH(PAYROLL!D3,ADJ!A$1:A$500,0),MATCH(PAYROLL!BM$2,ADJ!$2:$2,0)),0)</f>
        <v>0</v>
      </c>
      <c r="BN3" s="13">
        <f>IFERROR(INDEX(ADJ!$A$1:$BZ$1000,MATCH(PAYROLL!D3,ADJ!A$1:A$500,0),MATCH(PAYROLL!BN$2,ADJ!$2:$2,0)),0)</f>
        <v>0</v>
      </c>
      <c r="BO3" s="13">
        <f>IFERROR(INDEX(ADJ!$A$1:$BZ$1000,MATCH(PAYROLL!D3,ADJ!A$1:A$500,0),MATCH(PAYROLL!BO$2,ADJ!$2:$2,0)),0)</f>
        <v>0</v>
      </c>
      <c r="BP3" s="12">
        <f>SUM(AM3,AV3,BE3,BK3,BL3:BO3)</f>
        <v>10000000</v>
      </c>
      <c r="BQ3" s="13">
        <f>BO3</f>
        <v>0</v>
      </c>
      <c r="BR3" s="13">
        <f>IFERROR(ROUND(IF(LEFT(INDEX(PIS!O$1:O$500,MATCH(D3,PIS!C$1:C$500,0)),1)="D",T3/8*(BD3*0.3),IF(LEFT(INDEX(PIS!O$1:O$500,MATCH(D3,PIS!C$1:C$500,0)),1)="H",T3*($BD3*0.3),T3/$AD3/8*($BD3*0.3))),0),0)</f>
        <v>0</v>
      </c>
      <c r="BS3" s="13">
        <f>IF(AP3&lt;1,0,MIN(AP3,730000))</f>
        <v>0</v>
      </c>
      <c r="BT3" s="14">
        <f>IFERROR(ROUND((BE3-SUM(AW3:BC3)*T3/AD3/8),0)-BR3,0)</f>
        <v>0</v>
      </c>
      <c r="BU3" s="14">
        <f>AO3</f>
        <v>0</v>
      </c>
      <c r="BV3" s="13">
        <f>SUM(BQ3:BU3)</f>
        <v>0</v>
      </c>
      <c r="BW3" s="13">
        <f>BP3-BV3</f>
        <v>10000000</v>
      </c>
      <c r="BX3" s="13">
        <f>IFERROR(IF(RIGHT(INDEX(PIS!O$1:O$500,MATCH(D3,PIS!C$1:C$500,0)),5)="Gross",MIN(U3+V3,VLOOKUP("R700",TSC!B:C,2,0)*VLOOKUP("R101",TSC!B:C,2,0))*VLOOKUP("R701",TSC!B:C,2,0)%,0),0)</f>
        <v>800000</v>
      </c>
      <c r="BY3" s="13">
        <f>IFERROR(IF(RIGHT(INDEX(PIS!O$1:O$500,MATCH(D3,PIS!C$1:C$500,0)),5)="Gross",MIN(U3+V3,VLOOKUP("R700",TSC!B:C,2,0)*VLOOKUP("R101",TSC!B:C,2,0))*VLOOKUP("T704",TSC!B:C,2,0)%,0),0)</f>
        <v>150000</v>
      </c>
      <c r="BZ3" s="13">
        <f>IFERROR(IF(RIGHT(INDEX(PIS!O$1:O$500,MATCH(D3,PIS!C$1:C$500,0)),5)="Gross",MIN(U3+V3,VLOOKUP("R700",TSC!B:C,2,0)*VLOOKUP("R101",TSC!B:C,2,0))*VLOOKUP("T705",TSC!B:C,2,0)%,0),0)</f>
        <v>100000</v>
      </c>
      <c r="CA3" s="13">
        <f>IFERROR(INDEX(ADJ!$A$1:$BZ$1000,MATCH(PAYROLL!D3,ADJ!A$1:A$500,0),MATCH(PAYROLL!CA$2,ADJ!$2:$2,0)),0)</f>
        <v>0</v>
      </c>
      <c r="CB3" s="13">
        <f>IFERROR(INDEX(ADJ!$A$1:$BZ$1000,MATCH(PAYROLL!D3,ADJ!A$1:A$500,0),MATCH(PAYROLL!CB$2,ADJ!$2:$2,0)),0)</f>
        <v>0</v>
      </c>
      <c r="CC3" s="12">
        <f>SUM(BX3:CB3)</f>
        <v>1050000</v>
      </c>
      <c r="CD3" s="13">
        <f>IFERROR(INDEX(PIS!$A$1:$BZ$1000,MATCH(PAYROLL!D3,PIS!C$1:C$500,0),MATCH(PAYROLL!CD$1,PIS!$1:$1,0)),0)</f>
        <v>0</v>
      </c>
      <c r="CE3" s="12">
        <f>IFERROR(IF(OR(INDEX(PIS!P$1:P$500,MATCH(D3,PIS!C$1:C$500,0))="LT2",INDEX(PIS!P$1:P$500,MATCH(D3,PIS!C$1:C$500,0))="P10"),0,SUM(CC3,CD3*VLOOKUP("R601",TSC!B:C,2,0),VLOOKUP("R602",TSC!B:C,2,0))),0)</f>
        <v>12050000</v>
      </c>
      <c r="CF3" s="13">
        <f>MAX(BW3-CE3,0)</f>
        <v>0</v>
      </c>
      <c r="CG3" s="13">
        <f>IFERROR(IF(OR(RIGHT(INDEX(PIS!P$1:P$500,MATCH(D3,PIS!C$1:C$500,0)),5)="P10",RIGHT(INDEX(PIS!P$1:P$500,MATCH(D3,PIS!C$1:C$500,0)),5)="CK"),0,IF(CF3&lt;=5000000,CF3*5%,IF(CF3&lt;=10000000,CF3*10%-250000,IF(CF3&lt;=18000000,CF3*15%-750000,IF(CF3&lt;=32000000,CF3*20%-1650000,IF(CF3&lt;=52000000,CF3*25%-3250000,IF(CF3&lt;=80000000,BH3*30%-5850000,CF3*35%-9850000))))))),0)</f>
        <v>0</v>
      </c>
      <c r="CH3" s="13">
        <f>IFERROR(IF(OR(INDEX(PIS!P$1:P$500,MATCH(D3,PIS!C$1:C$500,0))="LT",INDEX(PIS!P$1:P$500,MATCH(D3,PIS!C$1:C$500,0))="CK"),0,IF(CF3&lt;2000000,0,CF3*10%)),0)</f>
        <v>0</v>
      </c>
      <c r="CI3" s="13">
        <f>IFERROR(INDEX(ADJ!$A$1:$BZ$1000,MATCH(PAYROLL!D3,ADJ!A$1:A$500,0),MATCH(PAYROLL!CI$2,ADJ!$2:$2,0)),0)</f>
        <v>0</v>
      </c>
      <c r="CJ3" s="13">
        <f>IFERROR(INDEX(ADJ!$A$1:$BZ$1000,MATCH(PAYROLL!D3,ADJ!A$1:A$500,0),MATCH(PAYROLL!CJ$2,ADJ!$2:$2,0)),0)</f>
        <v>0</v>
      </c>
      <c r="CK3" s="13">
        <f>IFERROR(INDEX(ADJ!$A$1:$BZ$1000,MATCH(PAYROLL!D3,ADJ!A$1:A$500,0),MATCH(PAYROLL!CK$2,ADJ!$2:$2,0)),0)</f>
        <v>0</v>
      </c>
      <c r="CL3" s="12">
        <f>SUM(CG3:CK3)</f>
        <v>0</v>
      </c>
      <c r="CM3" s="13">
        <f>ROUND(SUM(CH3:CK3),0)</f>
        <v>0</v>
      </c>
      <c r="CN3" s="12">
        <f>IFERROR(INDEX(CSDA!D$1:D$500,MATCH($CN$2,CSDA!C$1:C$500,0)),0)</f>
        <v>45000</v>
      </c>
      <c r="CO3" s="12">
        <f>IFERROR(INDEX(ADJ!$A$1:$BZ$1000,MATCH(PAYROLL!D3,ADJ!A$1:A$500,0),MATCH(PAYROLL!CO$2,ADJ!$2:$2,0)),0)</f>
        <v>0</v>
      </c>
      <c r="CP3" s="12">
        <f>IFERROR(INDEX(ADJ!$A$1:$BZ$1000,MATCH(PAYROLL!D3,ADJ!A$1:A$500,0),MATCH(PAYROLL!CP$2,ADJ!$2:$2,0)),0)</f>
        <v>0</v>
      </c>
      <c r="CQ3" s="12">
        <f>BP3-CL3-CI3-CM3-CN3-CO3-CP3-CC3</f>
        <v>8905000</v>
      </c>
      <c r="CR3" s="13">
        <f>IFERROR(IF(RIGHT(INDEX(PIS!O$1:O$500,MATCH(D3,PIS!C$1:C$500,0)),5)="Gross",MIN(U3+V3,VLOOKUP("R700",TSC!B:C,2,0)*VLOOKUP("R101",TSC!B:C,2,0))*(VLOOKUP("T711",TSC!B:C,2,0)+VLOOKUP("T712",TSC!B:C,2,0))%,MIN(T3+V3,VLOOKUP("R700",TSC!B:C,2,0)*VLOOKUP("R101",TSC!B:C,2,0))*(VLOOKUP("T711",TSC!B:C,2,0)+VLOOKUP("T712",TSC!B:C,2,0)+VLOOKUP("R701",TSC!B:C,2,0))%),0)</f>
        <v>1700000.0000000002</v>
      </c>
      <c r="CS3" s="13">
        <f>IFERROR(IF(RIGHT(INDEX(PIS!O$1:O$500,MATCH(D3,PIS!C$1:C$500,0)),5)="Gross",MIN(U3+V3,VLOOKUP("R700",TSC!B:C,2,0)*VLOOKUP("R101",TSC!B:C,2,0))*(VLOOKUP("T714",TSC!B:C,2,0))%,MIN(T3+V3,VLOOKUP("R700",TSC!B:C,2,0)*VLOOKUP("R101",TSC!B:C,2,0))*(VLOOKUP("T704",TSC!B:C,2,0)+VLOOKUP("T714",TSC!B:C,2,0))%),0)</f>
        <v>300000</v>
      </c>
      <c r="CT3" s="13">
        <f>IFERROR(IF(RIGHT(INDEX(PIS!O$1:O$500,MATCH(D3,PIS!C$1:C$500,0)),5)="Gross",MIN(U3+V3,VLOOKUP("R700",TSC!B:C,2,0)*VLOOKUP("R101",TSC!B:C,2,0))*VLOOKUP("T705",TSC!B:C,2,0)%,MIN(T3+V3,VLOOKUP("R700",TSC!B:C,2,0)*VLOOKUP("R101",TSC!B:C,2,0))*VLOOKUP("T705",TSC!B:C,2,0)%),0)</f>
        <v>100000</v>
      </c>
      <c r="CU3" s="13">
        <f>IFERROR(IF(RIGHT(INDEX(PIS!O$1:O$500,MATCH(D3,PIS!C$1:C$500,0)),5)="Gross",MIN(U3+V3,VLOOKUP("R700",TSC!B:C,2,0)*VLOOKUP("R101",TSC!B:C,2,0))*(VLOOKUP("T713",TSC!B:C,2,0))%,MIN(T3+V3,VLOOKUP("R700",TSC!B:C,2,0)*VLOOKUP("R101",TSC!B:C,2,0))*(VLOOKUP("T713",TSC!B:C,2,0))%),0)</f>
        <v>50000</v>
      </c>
      <c r="CV3" s="12">
        <f>IFERROR(INDEX(ADJ!$A$1:$BZ$1000,MATCH(PAYROLL!D3,ADJ!A$1:A$500,0),MATCH(PAYROLL!CV$2,ADJ!$2:$2,0)),0)</f>
        <v>0</v>
      </c>
      <c r="CW3" s="12">
        <f>IFERROR(INDEX(ADJ!$A$1:$BZ$1000,MATCH(PAYROLL!D3,ADJ!A$1:A$500,0),MATCH(PAYROLL!CW$2,ADJ!$2:$2,0)),0)</f>
        <v>0</v>
      </c>
      <c r="CX3" s="12">
        <f>SUM(CR3:CW3)</f>
        <v>2150000</v>
      </c>
      <c r="CY3" s="13">
        <f>IFERROR(IF(INDEX(PIS!I$1:I$500,MATCH(D3,PIS!C$1:C$500,0))="",IF(CR3&gt;0,MIN(VLOOKUP("R700",TSC!B:C,2,0)*VLOOKUP("R101",TSC!B:C,2,0),T3)*(VLOOKUP("R202",TSC!B:C,2,0))%,0),0)+IFERROR(INDEX(ADJ!$A$1:$BZ$1000,MATCH(PAYROLL!$D3,ADJ!A$1:A$500,0),MATCH(PAYROLL!CY$2,ADJ!$2:$2,0)),0),0)</f>
        <v>200000</v>
      </c>
      <c r="CZ3" s="13">
        <f>IFERROR(INDEX(CSDA!D$1:D$500,MATCH($CZ$2,CSDA!C$1:C$500,0)),0)</f>
        <v>0</v>
      </c>
      <c r="DA3" s="12">
        <f>ROUND(T3*0.1%,0)</f>
        <v>10000</v>
      </c>
      <c r="DB3" s="12">
        <f t="array" ref="DB3">IFERROR(INDEX(CSDA!D$1:D$500,MATCH("Trích giữ"&amp;PAYROLL!DB$2,CSDA!A$1:A$500&amp;CSDA!C$1:C$500,0)),0)</f>
        <v>0</v>
      </c>
      <c r="DC3" s="12">
        <f t="array" ref="DC3">IFERROR(INDEX(CSDA!D$1:D$500,MATCH("Trích giữ"&amp;PAYROLL!DC$2,CSDA!A$1:A$500&amp;CSDA!C$1:C$500,0)),0)</f>
        <v>30000</v>
      </c>
      <c r="DD3" s="12">
        <f>(550000+550000+12000*4)/12+20000</f>
        <v>115666.66666666667</v>
      </c>
      <c r="DE3" s="12">
        <f t="array" ref="DE3">IFERROR(INDEX(CSDA!D$1:D$500,MATCH("Trích giữ"&amp;PAYROLL!DE$2,CSDA!A$1:A$500&amp;CSDA!C$1:C$500,0)),0)</f>
        <v>0</v>
      </c>
      <c r="DF3" s="12">
        <f>IFERROR(INDEX(CSDA!D$1:D$500,MATCH(PAYROLL!DF$2,CSDA!C$1:C$500,0)),0)</f>
        <v>0</v>
      </c>
      <c r="DG3" s="12">
        <f>IFERROR(T3/AD3*11/12,0)</f>
        <v>416666.66666666669</v>
      </c>
      <c r="DH3" s="12">
        <f>IFERROR(T3/AD3,0)</f>
        <v>454545.45454545453</v>
      </c>
      <c r="DI3" s="12">
        <f t="array" ref="DI3">IFERROR(INDEX(CSDA!D$1:D$500,MATCH("Trích giữ"&amp;PAYROLL!DI$2,CSDA!A$1:A$500&amp;CSDA!C$1:C$500,0)),0)</f>
        <v>0</v>
      </c>
      <c r="DJ3" s="12">
        <f>IF(U3=0,T3*21.5%-BL3,0)</f>
        <v>0</v>
      </c>
      <c r="DK3" s="12">
        <f t="array" ref="DK3">IFERROR(INDEX(CSDA!D$1:D$500,MATCH("Trích giữ"&amp;PAYROLL!DK$2,CSDA!A$1:A$500&amp;CSDA!C$1:C$500,0)),0)</f>
        <v>0</v>
      </c>
      <c r="DL3" s="12">
        <f>IFERROR(INDEX(CSDA!D$1:D$500,MATCH(PAYROLL!DL$2,CSDA!C$1:C$500,0))/12,0)</f>
        <v>0</v>
      </c>
      <c r="DM3" s="12">
        <f>SUM(DB3:DL3)</f>
        <v>1016878.7878787878</v>
      </c>
      <c r="DN3" s="13">
        <f>IFERROR(INDEX(ADJ!$A$1:$BZ$1000,MATCH(PAYROLL!D3,ADJ!A$1:A$500,0),MATCH(PAYROLL!DN$2,ADJ!$2:$2,0)),0)</f>
        <v>0</v>
      </c>
      <c r="DO3" s="12">
        <f>IFERROR(SUM(BP3,DM3,DN3,CY3,CX3,DA3),0)</f>
        <v>13376878.787878787</v>
      </c>
      <c r="DP3" s="13">
        <f>DO3*7%</f>
        <v>936381.51515151514</v>
      </c>
      <c r="DQ3" s="13">
        <f>IFERROR(INDEX(ADJ!$A$1:$BZ$1000,MATCH(PAYROLL!D3,ADJ!A$1:A$500,0),MATCH(PAYROLL!DQ$2,ADJ!$2:$2,0)),0)</f>
        <v>0</v>
      </c>
      <c r="DR3" s="12">
        <f>IFERROR(INDEX(ADJ!$A$1:$BZ$1000,MATCH(PAYROLL!D3,ADJ!A$1:A$500,0),MATCH(PAYROLL!DR$2,ADJ!$2:$2,0)),0)</f>
        <v>0</v>
      </c>
      <c r="DS3" s="12">
        <f>SUM(DP3:DR3)</f>
        <v>936381.51515151514</v>
      </c>
      <c r="DT3" s="13">
        <f>EK3</f>
        <v>0</v>
      </c>
      <c r="DU3" s="12">
        <f>SUM(DO3:DR3)</f>
        <v>14313260.303030303</v>
      </c>
      <c r="DV3" s="13">
        <f>ROUND(DU3*0.1,0)</f>
        <v>1431326</v>
      </c>
      <c r="DW3" s="13">
        <f>DU3+DV3</f>
        <v>15744586.303030303</v>
      </c>
      <c r="DX3" s="13"/>
      <c r="DZ3" s="12">
        <f>IFERROR(INDEX(ADJ!$A$1:$BZ$1000,MATCH(PAYROLL!$D3,ADJ!A$1:A$500,0),MATCH(PAYROLL!DZ$2,ADJ!$2:$2,0)),0)</f>
        <v>0</v>
      </c>
      <c r="EA3" s="12">
        <f>IFERROR(INDEX(ADJ!$A$1:$BZ$1000,MATCH(PAYROLL!$D3,ADJ!A$1:A$500,0),MATCH(PAYROLL!EA$2,ADJ!$2:$2,0)),0)</f>
        <v>0</v>
      </c>
      <c r="EB3" s="12">
        <f>IFERROR(INDEX(ADJ!$A$1:$BZ$1000,MATCH(PAYROLL!$D3,ADJ!A$1:A$500,0),MATCH(PAYROLL!EB$2,ADJ!$2:$2,0)),0)</f>
        <v>0</v>
      </c>
      <c r="EC3" s="12">
        <f>IFERROR(INDEX(ADJ!$A$1:$BZ$1000,MATCH(PAYROLL!$D3,ADJ!A$1:A$500,0),MATCH(PAYROLL!EC$2,ADJ!$2:$2,0)),0)</f>
        <v>0</v>
      </c>
      <c r="ED3" s="12">
        <f>IFERROR(INDEX(ADJ!$A$1:$BZ$1000,MATCH(PAYROLL!$D3,ADJ!A$1:A$500,0),MATCH(PAYROLL!ED$2,ADJ!$2:$2,0)),0)</f>
        <v>0</v>
      </c>
      <c r="EE3" s="12">
        <f>IFERROR(T3/AD3*AG3,0)</f>
        <v>0</v>
      </c>
      <c r="EF3" s="12">
        <f>IFERROR(T3/AD3*AF3,0)</f>
        <v>0</v>
      </c>
      <c r="EG3" s="12">
        <f>IFERROR(INDEX(ADJ!$A$1:$BZ$1000,MATCH(PAYROLL!$D3,ADJ!A$1:A$500,0),MATCH(PAYROLL!EG$2,ADJ!$2:$2,0)),0)</f>
        <v>0</v>
      </c>
      <c r="EH3" s="12">
        <f>IFERROR(INDEX(ADJ!$A$1:$BZ$1000,MATCH(PAYROLL!$D3,ADJ!A$1:A$500,0),MATCH(PAYROLL!EH$2,ADJ!$2:$2,0)),0)</f>
        <v>0</v>
      </c>
      <c r="EI3" s="12">
        <f>IFERROR(INDEX(ADJ!$A$1:$BZ$1000,MATCH(PAYROLL!D3,ADJ!A$1:A$500,0),MATCH(PAYROLL!EI$2,ADJ!$2:$2,0)),0)</f>
        <v>0</v>
      </c>
      <c r="EJ3" s="12">
        <f>IFERROR(INDEX(ADJ!$A$1:$BZ$1000,MATCH(PAYROLL!$D3,ADJ!A$1:A$500,0),MATCH(PAYROLL!EJ$2,ADJ!$2:$2,0)),0)</f>
        <v>0</v>
      </c>
      <c r="EK3" s="12">
        <f>SUM(DZ3:EJ3)</f>
        <v>0</v>
      </c>
      <c r="EP3" s="12">
        <f>IFERROR(INDEX(ADJ!$A$1:$BZ$1000,MATCH(PAYROLL!D3,ADJ!A$1:A$500,0),MATCH(PAYROLL!EP$2,ADJ!$2:$2,0)),0)</f>
        <v>0</v>
      </c>
    </row>
    <row r="4" spans="1:1080">
      <c r="A4">
        <v>2</v>
      </c>
      <c r="B4" t="s">
        <v>273</v>
      </c>
      <c r="D4" t="s">
        <v>274</v>
      </c>
      <c r="S4">
        <f>IFERROR(INDEX(PIS!$A$1:$BZ$1000,MATCH($D4,PIS!C$1:C$500,0),MATCH("Lương CB tháng trước",PIS!$1:$1,0)),0)</f>
        <v>0</v>
      </c>
      <c r="T4">
        <f>IFERROR(INDEX(PIS!$A$1:$BZ$1000,MATCH($D4,PIS!C$1:C$500,0),MATCH("Lương CB hiện tại",PIS!$1:$1,0)),0)</f>
        <v>11200000</v>
      </c>
      <c r="U4">
        <f>IFERROR(INDEX(PIS!$A$1:$BZ$1000,MATCH($D4,PIS!C$1:C$500,0),MATCH("Lương đóng BHBB",PIS!$1:$1,0)),0)</f>
        <v>11200000</v>
      </c>
      <c r="V4">
        <f>IFERROR(INDEX(PIS!$A$1:$BZ$1000,MATCH($D4,PIS!C$1:C$500,0),MATCH(V$2,PIS!$2:$2,0)),0)</f>
        <v>0</v>
      </c>
      <c r="W4">
        <f>IFERROR(INDEX(PIS!$A$1:$BZ$1000,MATCH($D4,PIS!C$1:C$500,0),MATCH(W$2,PIS!$2:$2,0)),0)</f>
        <v>0</v>
      </c>
      <c r="X4">
        <f>IFERROR(INDEX(PIS!$A$1:$BZ$1000,MATCH($D4,PIS!C$1:C$500,0),MATCH(X$2,PIS!$2:$2,0)),0)</f>
        <v>0</v>
      </c>
      <c r="Y4">
        <f>IFERROR(INDEX(PIS!$A$1:$BZ$1000,MATCH($D4,PIS!C$1:C$500,0),MATCH(Y$2,PIS!$2:$2,0)),0)</f>
        <v>0</v>
      </c>
      <c r="Z4">
        <f>IFERROR(INDEX(PIS!$A$1:$BZ$1000,MATCH($D4,PIS!C$1:C$500,0),MATCH(Z$2,PIS!$2:$2,0)),0)</f>
        <v>0</v>
      </c>
      <c r="AA4">
        <f>IFERROR(INDEX(PIS!$A$1:$BZ$1000,MATCH($D4,PIS!C$1:C$500,0),MATCH(AA$2,PIS!$2:$2,0)),0)</f>
        <v>0</v>
      </c>
      <c r="AB4">
        <f>IFERROR(INDEX(PIS!$A$1:$BZ$1000,MATCH($D4,PIS!C$1:C$500,0),MATCH(AB$2,PIS!$2:$2,0)),0)</f>
        <v>0</v>
      </c>
      <c r="AC4">
        <f>SUM(V4:AB4)</f>
        <v>0</v>
      </c>
      <c r="AD4">
        <f>IFERROR(INDEX(TIMESHEET!$A$1:$AI$5000,MATCH($D4,TIMESHEET!A$1:A$500,0),MATCH("T100",TIMESHEET!$2:$2,0)),0)</f>
        <v>22</v>
      </c>
      <c r="AE4">
        <f>IFERROR(INDEX(TIMESHEET!$A$1:$AI$5000,MATCH($D4,TIMESHEET!A$1:A$500,0),MATCH("T202",TIMESHEET!$2:$2,0)),0)</f>
        <v>22</v>
      </c>
      <c r="AF4">
        <f>IFERROR(INDEX(TIMESHEET!$A$1:$AI$5000,MATCH($D4,TIMESHEET!A$1:A$500,0),MATCH("T302",TIMESHEET!$2:$2,0)),0)</f>
        <v>0</v>
      </c>
      <c r="AG4">
        <f>IFERROR(INDEX(TIMESHEET!$A$1:$AI$5000,MATCH($D4,TIMESHEET!A$1:A$500,0),MATCH("T406",TIMESHEET!$2:$2,0)),0)</f>
        <v>0</v>
      </c>
      <c r="AH4">
        <f>AE4+AG4+AF4</f>
        <v>22</v>
      </c>
      <c r="AI4">
        <f>IFERROR(INDEX(TIMESHEET!$A$1:$AI$5000,MATCH($D4,TIMESHEET!A$1:A$500,0),MATCH("T409",TIMESHEET!$2:$2,0)),0)</f>
        <v>0</v>
      </c>
      <c r="AJ4">
        <f>IF(AD4-AE4&lt;0,0,AD4-AE4-AF4-AG4)</f>
        <v>0</v>
      </c>
      <c r="AK4">
        <f>IFERROR((T4/AD4*(AD4-AJ4)+T4/AD4*AI4*0.7),0)</f>
        <v>11200000</v>
      </c>
      <c r="AL4">
        <f>IFERROR(INDEX(ADJ!$A$1:$BZ$1000,MATCH(PAYROLL!D4,ADJ!A$1:A$500,0),MATCH(PAYROLL!AL$2,ADJ!$2:$2,0)),0)</f>
        <v>0</v>
      </c>
      <c r="AM4">
        <f>SUM(AK4:AL4)</f>
        <v>11200000</v>
      </c>
      <c r="AN4">
        <f t="shared" si="0"/>
        <v>0</v>
      </c>
      <c r="AO4">
        <f t="shared" si="0"/>
        <v>0</v>
      </c>
      <c r="AP4">
        <f>IFERROR(ROUND(X4/$AD4*$AE4,0),0)</f>
        <v>0</v>
      </c>
      <c r="AQ4">
        <f t="shared" si="1"/>
        <v>0</v>
      </c>
      <c r="AR4">
        <f t="shared" si="1"/>
        <v>0</v>
      </c>
      <c r="AS4">
        <f t="shared" si="1"/>
        <v>0</v>
      </c>
      <c r="AT4">
        <f>IFERROR(IF((AE4+AF4+AG4)&gt;13,AB4,ROUND(AB4/AD4*AH4,0)),0)</f>
        <v>0</v>
      </c>
      <c r="AU4">
        <f>IFERROR(INDEX(ADJ!$A$1:$BZ$1000,MATCH(PAYROLL!D4,ADJ!A$1:A$500,0),MATCH(PAYROLL!AU$2,ADJ!$2:$2,0)),0)</f>
        <v>0</v>
      </c>
      <c r="AV4">
        <f>ROUND(SUM(AN4:AU4),0)</f>
        <v>0</v>
      </c>
      <c r="AW4">
        <f>IFERROR(INDEX(TIMESHEET!$A$1:$AI$5000,MATCH(PAYROLL!D4,TIMESHEET!A$1:A$500,0),MATCH("T620",TIMESHEET!$2:$2,0)),0)</f>
        <v>0</v>
      </c>
      <c r="AX4">
        <f>IFERROR(INDEX(TIMESHEET!$A$1:$AI$5000,MATCH(PAYROLL!D4,TIMESHEET!A$1:A$500,0),MATCH("T601",TIMESHEET!$2:$2,0)),0)</f>
        <v>0</v>
      </c>
      <c r="AY4">
        <f>IFERROR(INDEX(TIMESHEET!$A$1:$AI$5000,MATCH(PAYROLL!D4,TIMESHEET!A$1:A$500,0),MATCH("T602",TIMESHEET!$2:$2,0)),0)</f>
        <v>8</v>
      </c>
      <c r="AZ4">
        <f>IFERROR(INDEX(TIMESHEET!$A$1:$AI$5000,MATCH(PAYROLL!D4,TIMESHEET!A$1:A$500,0),MATCH("T603",TIMESHEET!$2:$2,0)),0)</f>
        <v>0</v>
      </c>
      <c r="BA4">
        <f>IFERROR(INDEX(TIMESHEET!$A$1:$AI$5000,MATCH(PAYROLL!D4,TIMESHEET!A$1:A$500,0),MATCH("T611",TIMESHEET!$2:$2,0)),0)</f>
        <v>0</v>
      </c>
      <c r="BB4">
        <f>IFERROR(INDEX(TIMESHEET!$A$1:$AI$5000,MATCH(PAYROLL!D4,TIMESHEET!A$1:A$500,0),MATCH("T612",TIMESHEET!$2:$2,0)),0)</f>
        <v>0</v>
      </c>
      <c r="BC4">
        <f>IFERROR(INDEX(TIMESHEET!$A$1:$AI$5000,MATCH(PAYROLL!D4,TIMESHEET!A$1:A$500,0),MATCH("T613",TIMESHEET!$2:$2,0)),0)</f>
        <v>0</v>
      </c>
      <c r="BD4">
        <f>IFERROR(INDEX(TIMESHEET!$A$1:$AI$5000,MATCH(PAYROLL!D4,TIMESHEET!A$1:A$500,0),MATCH("T500",TIMESHEET!$2:$2,0)),0)</f>
        <v>80</v>
      </c>
      <c r="BE4">
        <f>IFERROR(IF(LEFT(INDEX(PIS!O$1:O$500,MATCH(D4,PIS!C$1:C$500,0)),1)="M",T4/AD4/8*(AW4+AX4*1.5+AY4*2+AZ4*3+BA4*2.1+BB4*2.7+BC4*3.9+BD4*0.3),T4/8*(AW4+AX4*1.5+AY4*2+AZ4*3+BA4*2.1+BB4*2.7+BC4*3.9+BD4*0.3)),0)</f>
        <v>2545454.5454545454</v>
      </c>
      <c r="BF4">
        <f>IFERROR(INDEX(ADJ!$A$1:$BZ$1000,MATCH(PAYROLL!$D4,ADJ!A$1:A$500,0),MATCH(PAYROLL!BF$2,ADJ!$2:$2,0)),0)</f>
        <v>0</v>
      </c>
      <c r="BG4">
        <f>IFERROR(INDEX(ADJ!$A$1:$BZ$1000,MATCH(PAYROLL!D4,ADJ!A$1:A$500,0),MATCH(PAYROLL!BG$2,ADJ!$2:$2,0)),0)</f>
        <v>0</v>
      </c>
      <c r="BH4">
        <f>IFERROR(INDEX(ADJ!$A$1:$BZ$1000,MATCH(PAYROLL!D4,ADJ!A$1:A$500,0),MATCH(PAYROLL!BH$2,ADJ!$2:$2,0)),0)</f>
        <v>0</v>
      </c>
      <c r="BI4">
        <f>IFERROR(INDEX(ADJ!$A$1:$BZ$1000,MATCH(PAYROLL!D4,ADJ!A$1:A$500,0),MATCH(PAYROLL!BI$2,ADJ!$2:$2,0)),0)</f>
        <v>0</v>
      </c>
      <c r="BJ4">
        <f>IFERROR(INDEX(ADJ!$A$1:$BZ$1000,MATCH(PAYROLL!D4,ADJ!A$1:A$500,0),MATCH(PAYROLL!BJ$2,ADJ!$2:$2,0)),0)</f>
        <v>0</v>
      </c>
      <c r="BK4">
        <f>SUM(BF4:BJ4)</f>
        <v>0</v>
      </c>
      <c r="BL4">
        <f>IFERROR(INDEX(ADJ!$A$1:$BZ$1000,MATCH(PAYROLL!D4,ADJ!A$1:A$500,0),MATCH(PAYROLL!BL$2,ADJ!$2:$2,0)),0)</f>
        <v>0</v>
      </c>
      <c r="BM4">
        <f>IFERROR(INDEX(ADJ!$A$1:$BZ$1000,MATCH(PAYROLL!D4,ADJ!A$1:A$500,0),MATCH(PAYROLL!BM$2,ADJ!$2:$2,0)),0)</f>
        <v>0</v>
      </c>
      <c r="BN4">
        <f>IFERROR(INDEX(ADJ!$A$1:$BZ$1000,MATCH(PAYROLL!D4,ADJ!A$1:A$500,0),MATCH(PAYROLL!BN$2,ADJ!$2:$2,0)),0)</f>
        <v>0</v>
      </c>
      <c r="BO4">
        <f>IFERROR(INDEX(ADJ!$A$1:$BZ$1000,MATCH(PAYROLL!D4,ADJ!A$1:A$500,0),MATCH(PAYROLL!BO$2,ADJ!$2:$2,0)),0)</f>
        <v>0</v>
      </c>
      <c r="BP4">
        <f>SUM(AM4,AV4,BE4,BK4,BL4:BO4)</f>
        <v>13745454.545454545</v>
      </c>
      <c r="BQ4">
        <f>BO4</f>
        <v>0</v>
      </c>
      <c r="BR4">
        <f>IFERROR(ROUND(IF(LEFT(INDEX(PIS!O$1:O$500,MATCH(D4,PIS!C$1:C$500,0)),1)="D",T4/8*(BD4*0.3),IF(LEFT(INDEX(PIS!O$1:O$500,MATCH(D4,PIS!C$1:C$500,0)),1)="H",T4*($BD4*0.3),T4/$AD4/8*($BD4*0.3))),0),0)</f>
        <v>1527273</v>
      </c>
      <c r="BS4">
        <f>IF(AP4&lt;1,0,MIN(AP4,730000))</f>
        <v>0</v>
      </c>
      <c r="BT4">
        <f>IFERROR(ROUND((BE4-SUM(AW4:BC4)*T4/AD4/8),0)-BR4,0)</f>
        <v>509091</v>
      </c>
      <c r="BU4">
        <f>AO4</f>
        <v>0</v>
      </c>
      <c r="BV4">
        <f>SUM(BQ4:BU4)</f>
        <v>2036364</v>
      </c>
      <c r="BW4">
        <f>BP4-BV4</f>
        <v>11709090.545454545</v>
      </c>
      <c r="BX4">
        <f>IFERROR(IF(RIGHT(INDEX(PIS!O$1:O$500,MATCH(D4,PIS!C$1:C$500,0)),5)="Gross",MIN(U4+V4,VLOOKUP("R700",TSC!B:C,2,0)*VLOOKUP("R101",TSC!B:C,2,0))*VLOOKUP("R701",TSC!B:C,2,0)%,0),0)</f>
        <v>896000</v>
      </c>
      <c r="BY4">
        <f>IFERROR(IF(RIGHT(INDEX(PIS!O$1:O$500,MATCH(D4,PIS!C$1:C$500,0)),5)="Gross",MIN(U4+V4,VLOOKUP("R700",TSC!B:C,2,0)*VLOOKUP("R101",TSC!B:C,2,0))*VLOOKUP("T704",TSC!B:C,2,0)%,0),0)</f>
        <v>168000</v>
      </c>
      <c r="BZ4">
        <f>IFERROR(IF(RIGHT(INDEX(PIS!O$1:O$500,MATCH(D4,PIS!C$1:C$500,0)),5)="Gross",MIN(U4+V4,VLOOKUP("R700",TSC!B:C,2,0)*VLOOKUP("R101",TSC!B:C,2,0))*VLOOKUP("T705",TSC!B:C,2,0)%,0),0)</f>
        <v>112000</v>
      </c>
      <c r="CA4">
        <f>IFERROR(INDEX(ADJ!$A$1:$BZ$1000,MATCH(PAYROLL!D4,ADJ!A$1:A$500,0),MATCH(PAYROLL!CA$2,ADJ!$2:$2,0)),0)</f>
        <v>0</v>
      </c>
      <c r="CB4">
        <f>IFERROR(INDEX(ADJ!$A$1:$BZ$1000,MATCH(PAYROLL!D4,ADJ!A$1:A$500,0),MATCH(PAYROLL!CB$2,ADJ!$2:$2,0)),0)</f>
        <v>0</v>
      </c>
      <c r="CC4">
        <f>SUM(BX4:CB4)</f>
        <v>1176000</v>
      </c>
      <c r="CD4">
        <f>IFERROR(INDEX(PIS!$A$1:$BZ$1000,MATCH(PAYROLL!D4,PIS!C$1:C$500,0),MATCH(PAYROLL!CD$1,PIS!$1:$1,0)),0)</f>
        <v>0</v>
      </c>
      <c r="CE4">
        <f>IFERROR(IF(OR(INDEX(PIS!P$1:P$500,MATCH(D4,PIS!C$1:C$500,0))="LT2",INDEX(PIS!P$1:P$500,MATCH(D4,PIS!C$1:C$500,0))="P10"),0,SUM(CC4,CD4*VLOOKUP("R601",TSC!B:C,2,0),VLOOKUP("R602",TSC!B:C,2,0))),0)</f>
        <v>12176000</v>
      </c>
      <c r="CF4">
        <f>MAX(BW4-CE4,0)</f>
        <v>0</v>
      </c>
      <c r="CG4">
        <f>IFERROR(IF(OR(RIGHT(INDEX(PIS!P$1:P$500,MATCH(D4,PIS!C$1:C$500,0)),5)="P10",RIGHT(INDEX(PIS!P$1:P$500,MATCH(D4,PIS!C$1:C$500,0)),5)="CK"),0,IF(CF4&lt;=5000000,CF4*5%,IF(CF4&lt;=10000000,CF4*10%-250000,IF(CF4&lt;=18000000,CF4*15%-750000,IF(CF4&lt;=32000000,CF4*20%-1650000,IF(CF4&lt;=52000000,CF4*25%-3250000,IF(CF4&lt;=80000000,BH4*30%-5850000,CF4*35%-9850000))))))),0)</f>
        <v>0</v>
      </c>
      <c r="CH4">
        <f>IFERROR(IF(OR(INDEX(PIS!P$1:P$500,MATCH(D4,PIS!C$1:C$500,0))="LT",INDEX(PIS!P$1:P$500,MATCH(D4,PIS!C$1:C$500,0))="CK"),0,IF(CF4&lt;2000000,0,CF4*10%)),0)</f>
        <v>0</v>
      </c>
      <c r="CI4">
        <f>IFERROR(INDEX(ADJ!$A$1:$BZ$1000,MATCH(PAYROLL!D4,ADJ!A$1:A$500,0),MATCH(PAYROLL!CI$2,ADJ!$2:$2,0)),0)</f>
        <v>0</v>
      </c>
      <c r="CJ4">
        <f>IFERROR(INDEX(ADJ!$A$1:$BZ$1000,MATCH(PAYROLL!D4,ADJ!A$1:A$500,0),MATCH(PAYROLL!CJ$2,ADJ!$2:$2,0)),0)</f>
        <v>0</v>
      </c>
      <c r="CK4">
        <f>IFERROR(INDEX(ADJ!$A$1:$BZ$1000,MATCH(PAYROLL!D4,ADJ!A$1:A$500,0),MATCH(PAYROLL!CK$2,ADJ!$2:$2,0)),0)</f>
        <v>0</v>
      </c>
      <c r="CL4">
        <f>SUM(CG4:CK4)</f>
        <v>0</v>
      </c>
      <c r="CM4">
        <f>ROUND(SUM(CH4:CK4),0)</f>
        <v>0</v>
      </c>
      <c r="CN4">
        <f>IFERROR(INDEX(CSDA!D$1:D$500,MATCH($CN$2,CSDA!C$1:C$500,0)),0)</f>
        <v>45000</v>
      </c>
      <c r="CO4">
        <f>IFERROR(INDEX(ADJ!$A$1:$BZ$1000,MATCH(PAYROLL!D4,ADJ!A$1:A$500,0),MATCH(PAYROLL!CO$2,ADJ!$2:$2,0)),0)</f>
        <v>0</v>
      </c>
      <c r="CP4">
        <f>IFERROR(INDEX(ADJ!$A$1:$BZ$1000,MATCH(PAYROLL!D4,ADJ!A$1:A$500,0),MATCH(PAYROLL!CP$2,ADJ!$2:$2,0)),0)</f>
        <v>0</v>
      </c>
      <c r="CQ4">
        <f>BP4-CL4-CI4-CM4-CN4-CO4-CP4-CC4</f>
        <v>12524454.545454545</v>
      </c>
      <c r="CR4">
        <f>IFERROR(IF(RIGHT(INDEX(PIS!O$1:O$500,MATCH(D4,PIS!C$1:C$500,0)),5)="Gross",MIN(U4+V4,VLOOKUP("R700",TSC!B:C,2,0)*VLOOKUP("R101",TSC!B:C,2,0))*(VLOOKUP("T711",TSC!B:C,2,0)+VLOOKUP("T712",TSC!B:C,2,0))%,MIN(T4+V4,VLOOKUP("R700",TSC!B:C,2,0)*VLOOKUP("R101",TSC!B:C,2,0))*(VLOOKUP("T711",TSC!B:C,2,0)+VLOOKUP("T712",TSC!B:C,2,0)+VLOOKUP("R701",TSC!B:C,2,0))%),0)</f>
        <v>1904000.0000000002</v>
      </c>
      <c r="CS4">
        <f>IFERROR(IF(RIGHT(INDEX(PIS!O$1:O$500,MATCH(D4,PIS!C$1:C$500,0)),5)="Gross",MIN(U4+V4,VLOOKUP("R700",TSC!B:C,2,0)*VLOOKUP("R101",TSC!B:C,2,0))*(VLOOKUP("T714",TSC!B:C,2,0))%,MIN(T4+V4,VLOOKUP("R700",TSC!B:C,2,0)*VLOOKUP("R101",TSC!B:C,2,0))*(VLOOKUP("T704",TSC!B:C,2,0)+VLOOKUP("T714",TSC!B:C,2,0))%),0)</f>
        <v>336000</v>
      </c>
      <c r="CT4">
        <f>IFERROR(IF(RIGHT(INDEX(PIS!O$1:O$500,MATCH(D4,PIS!C$1:C$500,0)),5)="Gross",MIN(U4+V4,VLOOKUP("R700",TSC!B:C,2,0)*VLOOKUP("R101",TSC!B:C,2,0))*VLOOKUP("T705",TSC!B:C,2,0)%,MIN(T4+V4,VLOOKUP("R700",TSC!B:C,2,0)*VLOOKUP("R101",TSC!B:C,2,0))*VLOOKUP("T705",TSC!B:C,2,0)%),0)</f>
        <v>112000</v>
      </c>
      <c r="CU4">
        <f>IFERROR(IF(RIGHT(INDEX(PIS!O$1:O$500,MATCH(D4,PIS!C$1:C$500,0)),5)="Gross",MIN(U4+V4,VLOOKUP("R700",TSC!B:C,2,0)*VLOOKUP("R101",TSC!B:C,2,0))*(VLOOKUP("T713",TSC!B:C,2,0))%,MIN(T4+V4,VLOOKUP("R700",TSC!B:C,2,0)*VLOOKUP("R101",TSC!B:C,2,0))*(VLOOKUP("T713",TSC!B:C,2,0))%),0)</f>
        <v>56000</v>
      </c>
      <c r="CV4">
        <f>IFERROR(INDEX(ADJ!$A$1:$BZ$1000,MATCH(PAYROLL!D4,ADJ!A$1:A$500,0),MATCH(PAYROLL!CV$2,ADJ!$2:$2,0)),0)</f>
        <v>0</v>
      </c>
      <c r="CW4">
        <f>IFERROR(INDEX(ADJ!$A$1:$BZ$1000,MATCH(PAYROLL!D4,ADJ!A$1:A$500,0),MATCH(PAYROLL!CW$2,ADJ!$2:$2,0)),0)</f>
        <v>0</v>
      </c>
      <c r="CX4">
        <f>SUM(CR4:CW4)</f>
        <v>2408000</v>
      </c>
      <c r="CY4">
        <f>IFERROR(IF(INDEX(PIS!I$1:I$500,MATCH(D4,PIS!C$1:C$500,0))="",IF(CR4&gt;0,MIN(VLOOKUP("R700",TSC!B:C,2,0)*VLOOKUP("R101",TSC!B:C,2,0),T4)*(VLOOKUP("R202",TSC!B:C,2,0))%,0),0)+IFERROR(INDEX(ADJ!$A$1:$BZ$1000,MATCH(PAYROLL!$D4,ADJ!A$1:A$500,0),MATCH(PAYROLL!CY$2,ADJ!$2:$2,0)),0),0)</f>
        <v>224000</v>
      </c>
      <c r="CZ4">
        <f>IFERROR(INDEX(CSDA!D$1:D$500,MATCH($CZ$2,CSDA!C$1:C$500,0)),0)</f>
        <v>0</v>
      </c>
      <c r="DA4">
        <f>ROUND(T4*0.1%,0)</f>
        <v>11200</v>
      </c>
      <c r="DB4">
        <f t="array" ref="DB4">IFERROR(INDEX(CSDA!D$1:D$500,MATCH("Trích giữ"&amp;PAYROLL!DB$2,CSDA!A$1:A$500&amp;CSDA!C$1:C$500,0)),0)</f>
        <v>0</v>
      </c>
      <c r="DC4">
        <f t="array" ref="DC4">IFERROR(INDEX(CSDA!D$1:D$500,MATCH("Trích giữ"&amp;PAYROLL!DC$2,CSDA!A$1:A$500&amp;CSDA!C$1:C$500,0)),0)</f>
        <v>30000</v>
      </c>
      <c r="DD4">
        <f>(550000+550000+12000*4)/12+20000</f>
        <v>115666.66666666667</v>
      </c>
      <c r="DE4">
        <f t="array" ref="DE4">IFERROR(INDEX(CSDA!D$1:D$500,MATCH("Trích giữ"&amp;PAYROLL!DE$2,CSDA!A$1:A$500&amp;CSDA!C$1:C$500,0)),0)</f>
        <v>0</v>
      </c>
      <c r="DF4">
        <f>IFERROR(INDEX(CSDA!D$1:D$500,MATCH(PAYROLL!DF$2,CSDA!C$1:C$500,0)),0)</f>
        <v>0</v>
      </c>
      <c r="DG4">
        <f>IFERROR(T4/AD4*11/12,0)</f>
        <v>466666.66666666669</v>
      </c>
      <c r="DH4">
        <f>IFERROR(T4/AD4,0)</f>
        <v>509090.90909090912</v>
      </c>
      <c r="DI4">
        <f t="array" ref="DI4">IFERROR(INDEX(CSDA!D$1:D$500,MATCH("Trích giữ"&amp;PAYROLL!DI$2,CSDA!A$1:A$500&amp;CSDA!C$1:C$500,0)),0)</f>
        <v>0</v>
      </c>
      <c r="DJ4">
        <f>IF(U4=0,T4*21.5%-BL4,0)</f>
        <v>0</v>
      </c>
      <c r="DK4">
        <f t="array" ref="DK4">IFERROR(INDEX(CSDA!D$1:D$500,MATCH("Trích giữ"&amp;PAYROLL!DK$2,CSDA!A$1:A$500&amp;CSDA!C$1:C$500,0)),0)</f>
        <v>0</v>
      </c>
      <c r="DL4">
        <f>IFERROR(INDEX(CSDA!D$1:D$500,MATCH(PAYROLL!DL$2,CSDA!C$1:C$500,0))/12,0)</f>
        <v>0</v>
      </c>
      <c r="DM4">
        <f>SUM(DB4:DL4)</f>
        <v>1121424.2424242424</v>
      </c>
      <c r="DN4">
        <f>IFERROR(INDEX(ADJ!$A$1:$BZ$1000,MATCH(PAYROLL!D4,ADJ!A$1:A$500,0),MATCH(PAYROLL!DN$2,ADJ!$2:$2,0)),0)</f>
        <v>0</v>
      </c>
      <c r="DO4">
        <f>IFERROR(SUM(BP4,DM4,DN4,CY4,CX4,DA4),0)</f>
        <v>17510078.787878789</v>
      </c>
      <c r="DP4">
        <f>DO4*7%</f>
        <v>1225705.5151515154</v>
      </c>
      <c r="DQ4">
        <f>IFERROR(INDEX(ADJ!$A$1:$BZ$1000,MATCH(PAYROLL!D4,ADJ!A$1:A$500,0),MATCH(PAYROLL!DQ$2,ADJ!$2:$2,0)),0)</f>
        <v>0</v>
      </c>
      <c r="DR4">
        <f>IFERROR(INDEX(ADJ!$A$1:$BZ$1000,MATCH(PAYROLL!D4,ADJ!A$1:A$500,0),MATCH(PAYROLL!DR$2,ADJ!$2:$2,0)),0)</f>
        <v>0</v>
      </c>
      <c r="DS4">
        <f>SUM(DP4:DR4)</f>
        <v>1225705.5151515154</v>
      </c>
      <c r="DT4">
        <f>EK4</f>
        <v>0</v>
      </c>
      <c r="DU4">
        <f>SUM(DO4:DR4)</f>
        <v>18735784.303030305</v>
      </c>
      <c r="DV4">
        <f>ROUND(DU4*0.1,0)</f>
        <v>1873578</v>
      </c>
      <c r="DW4">
        <f>DU4+DV4</f>
        <v>20609362.303030305</v>
      </c>
      <c r="DZ4">
        <f>IFERROR(INDEX(ADJ!$A$1:$BZ$1000,MATCH(PAYROLL!$D4,ADJ!A$1:A$500,0),MATCH(PAYROLL!DZ$2,ADJ!$2:$2,0)),0)</f>
        <v>0</v>
      </c>
      <c r="EA4">
        <f>IFERROR(INDEX(ADJ!$A$1:$BZ$1000,MATCH(PAYROLL!$D4,ADJ!A$1:A$500,0),MATCH(PAYROLL!EA$2,ADJ!$2:$2,0)),0)</f>
        <v>0</v>
      </c>
      <c r="EB4">
        <f>IFERROR(INDEX(ADJ!$A$1:$BZ$1000,MATCH(PAYROLL!$D4,ADJ!A$1:A$500,0),MATCH(PAYROLL!EB$2,ADJ!$2:$2,0)),0)</f>
        <v>0</v>
      </c>
      <c r="EC4">
        <f>IFERROR(INDEX(ADJ!$A$1:$BZ$1000,MATCH(PAYROLL!$D4,ADJ!A$1:A$500,0),MATCH(PAYROLL!EC$2,ADJ!$2:$2,0)),0)</f>
        <v>0</v>
      </c>
      <c r="ED4">
        <f>IFERROR(INDEX(ADJ!$A$1:$BZ$1000,MATCH(PAYROLL!$D4,ADJ!A$1:A$500,0),MATCH(PAYROLL!ED$2,ADJ!$2:$2,0)),0)</f>
        <v>0</v>
      </c>
      <c r="EE4">
        <f>IFERROR(T4/AD4*AG4,0)</f>
        <v>0</v>
      </c>
      <c r="EF4">
        <f>IFERROR(T4/AD4*AF4,0)</f>
        <v>0</v>
      </c>
      <c r="EG4">
        <f>IFERROR(INDEX(ADJ!$A$1:$BZ$1000,MATCH(PAYROLL!$D4,ADJ!A$1:A$500,0),MATCH(PAYROLL!EG$2,ADJ!$2:$2,0)),0)</f>
        <v>0</v>
      </c>
      <c r="EH4">
        <f>IFERROR(INDEX(ADJ!$A$1:$BZ$1000,MATCH(PAYROLL!$D4,ADJ!A$1:A$500,0),MATCH(PAYROLL!EH$2,ADJ!$2:$2,0)),0)</f>
        <v>0</v>
      </c>
      <c r="EI4">
        <f>IFERROR(INDEX(ADJ!$A$1:$BZ$1000,MATCH(PAYROLL!D4,ADJ!A$1:A$500,0),MATCH(PAYROLL!EI$2,ADJ!$2:$2,0)),0)</f>
        <v>0</v>
      </c>
      <c r="EJ4">
        <f>IFERROR(INDEX(ADJ!$A$1:$BZ$1000,MATCH(PAYROLL!$D4,ADJ!A$1:A$500,0),MATCH(PAYROLL!EJ$2,ADJ!$2:$2,0)),0)</f>
        <v>0</v>
      </c>
      <c r="EK4">
        <f>SUM(DZ4:EJ4)</f>
        <v>0</v>
      </c>
      <c r="EP4">
        <f>IFERROR(INDEX(ADJ!$A$1:$BZ$1000,MATCH(PAYROLL!D4,ADJ!A$1:A$500,0),MATCH(PAYROLL!EP$2,ADJ!$2:$2,0)),0)</f>
        <v>0</v>
      </c>
    </row>
    <row r="5" spans="1:1080">
      <c r="A5">
        <v>3</v>
      </c>
      <c r="B5" t="s">
        <v>275</v>
      </c>
      <c r="D5" t="s">
        <v>276</v>
      </c>
      <c r="S5">
        <f>IFERROR(INDEX(PIS!$A$1:$BZ$1000,MATCH($D5,PIS!C$1:C$500,0),MATCH("Lương CB tháng trước",PIS!$1:$1,0)),0)</f>
        <v>0</v>
      </c>
      <c r="T5">
        <f>IFERROR(INDEX(PIS!$A$1:$BZ$1000,MATCH($D5,PIS!C$1:C$500,0),MATCH("Lương CB hiện tại",PIS!$1:$1,0)),0)</f>
        <v>10000000</v>
      </c>
      <c r="U5">
        <f>IFERROR(INDEX(PIS!$A$1:$BZ$1000,MATCH($D5,PIS!C$1:C$500,0),MATCH("Lương đóng BHBB",PIS!$1:$1,0)),0)</f>
        <v>10000000</v>
      </c>
      <c r="V5">
        <f>IFERROR(INDEX(PIS!$A$1:$BZ$1000,MATCH($D5,PIS!C$1:C$500,0),MATCH(V$2,PIS!$2:$2,0)),0)</f>
        <v>0</v>
      </c>
      <c r="W5">
        <f>IFERROR(INDEX(PIS!$A$1:$BZ$1000,MATCH($D5,PIS!C$1:C$500,0),MATCH(W$2,PIS!$2:$2,0)),0)</f>
        <v>0</v>
      </c>
      <c r="X5">
        <f>IFERROR(INDEX(PIS!$A$1:$BZ$1000,MATCH($D5,PIS!C$1:C$500,0),MATCH(X$2,PIS!$2:$2,0)),0)</f>
        <v>0</v>
      </c>
      <c r="Y5">
        <f>IFERROR(INDEX(PIS!$A$1:$BZ$1000,MATCH($D5,PIS!C$1:C$500,0),MATCH(Y$2,PIS!$2:$2,0)),0)</f>
        <v>0</v>
      </c>
      <c r="Z5">
        <f>IFERROR(INDEX(PIS!$A$1:$BZ$1000,MATCH($D5,PIS!C$1:C$500,0),MATCH(Z$2,PIS!$2:$2,0)),0)</f>
        <v>0</v>
      </c>
      <c r="AA5">
        <f>IFERROR(INDEX(PIS!$A$1:$BZ$1000,MATCH($D5,PIS!C$1:C$500,0),MATCH(AA$2,PIS!$2:$2,0)),0)</f>
        <v>0</v>
      </c>
      <c r="AB5">
        <f>IFERROR(INDEX(PIS!$A$1:$BZ$1000,MATCH($D5,PIS!C$1:C$500,0),MATCH(AB$2,PIS!$2:$2,0)),0)</f>
        <v>0</v>
      </c>
      <c r="AC5">
        <f>SUM(V5:AB5)</f>
        <v>0</v>
      </c>
      <c r="AD5">
        <f>IFERROR(INDEX(TIMESHEET!$A$1:$AI$5000,MATCH($D5,TIMESHEET!A$1:A$500,0),MATCH("T100",TIMESHEET!$2:$2,0)),0)</f>
        <v>22</v>
      </c>
      <c r="AE5">
        <f>IFERROR(INDEX(TIMESHEET!$A$1:$AI$5000,MATCH($D5,TIMESHEET!A$1:A$500,0),MATCH("T202",TIMESHEET!$2:$2,0)),0)</f>
        <v>21</v>
      </c>
      <c r="AF5">
        <f>IFERROR(INDEX(TIMESHEET!$A$1:$AI$5000,MATCH($D5,TIMESHEET!A$1:A$500,0),MATCH("T302",TIMESHEET!$2:$2,0)),0)</f>
        <v>1</v>
      </c>
      <c r="AG5">
        <f>IFERROR(INDEX(TIMESHEET!$A$1:$AI$5000,MATCH($D5,TIMESHEET!A$1:A$500,0),MATCH("T406",TIMESHEET!$2:$2,0)),0)</f>
        <v>0</v>
      </c>
      <c r="AH5">
        <f>AE5+AG5+AF5</f>
        <v>22</v>
      </c>
      <c r="AI5">
        <f>IFERROR(INDEX(TIMESHEET!$A$1:$AI$5000,MATCH($D5,TIMESHEET!A$1:A$500,0),MATCH("T409",TIMESHEET!$2:$2,0)),0)</f>
        <v>0</v>
      </c>
      <c r="AJ5">
        <f>IF(AD5-AE5&lt;0,0,AD5-AE5-AF5-AG5)</f>
        <v>0</v>
      </c>
      <c r="AK5">
        <f>IFERROR((T5/AD5*(AD5-AJ5)+T5/AD5*AI5*0.7),0)</f>
        <v>10000000</v>
      </c>
      <c r="AL5">
        <f>IFERROR(INDEX(ADJ!$A$1:$BZ$1000,MATCH(PAYROLL!D5,ADJ!A$1:A$500,0),MATCH(PAYROLL!AL$2,ADJ!$2:$2,0)),0)</f>
        <v>0</v>
      </c>
      <c r="AM5">
        <f>SUM(AK5:AL5)</f>
        <v>10000000</v>
      </c>
      <c r="AN5">
        <f t="shared" si="0"/>
        <v>0</v>
      </c>
      <c r="AO5">
        <f t="shared" si="0"/>
        <v>0</v>
      </c>
      <c r="AP5">
        <f>IFERROR(ROUND(X5/$AD5*$AE5,0),0)</f>
        <v>0</v>
      </c>
      <c r="AQ5">
        <f t="shared" si="1"/>
        <v>0</v>
      </c>
      <c r="AR5">
        <f t="shared" si="1"/>
        <v>0</v>
      </c>
      <c r="AS5">
        <f t="shared" si="1"/>
        <v>0</v>
      </c>
      <c r="AT5">
        <f>IFERROR(IF((AE5+AF5+AG5)&gt;13,AB5,ROUND(AB5/AD5*AH5,0)),0)</f>
        <v>0</v>
      </c>
      <c r="AU5">
        <f>IFERROR(INDEX(ADJ!$A$1:$BZ$1000,MATCH(PAYROLL!D5,ADJ!A$1:A$500,0),MATCH(PAYROLL!AU$2,ADJ!$2:$2,0)),0)</f>
        <v>0</v>
      </c>
      <c r="AV5">
        <f>ROUND(SUM(AN5:AU5),0)</f>
        <v>0</v>
      </c>
      <c r="AW5">
        <f>IFERROR(INDEX(TIMESHEET!$A$1:$AI$5000,MATCH(PAYROLL!D5,TIMESHEET!A$1:A$500,0),MATCH("T620",TIMESHEET!$2:$2,0)),0)</f>
        <v>0</v>
      </c>
      <c r="AX5">
        <f>IFERROR(INDEX(TIMESHEET!$A$1:$AI$5000,MATCH(PAYROLL!D5,TIMESHEET!A$1:A$500,0),MATCH("T601",TIMESHEET!$2:$2,0)),0)</f>
        <v>0</v>
      </c>
      <c r="AY5">
        <f>IFERROR(INDEX(TIMESHEET!$A$1:$AI$5000,MATCH(PAYROLL!D5,TIMESHEET!A$1:A$500,0),MATCH("T602",TIMESHEET!$2:$2,0)),0)</f>
        <v>16</v>
      </c>
      <c r="AZ5">
        <f>IFERROR(INDEX(TIMESHEET!$A$1:$AI$5000,MATCH(PAYROLL!D5,TIMESHEET!A$1:A$500,0),MATCH("T603",TIMESHEET!$2:$2,0)),0)</f>
        <v>0</v>
      </c>
      <c r="BA5">
        <f>IFERROR(INDEX(TIMESHEET!$A$1:$AI$5000,MATCH(PAYROLL!D5,TIMESHEET!A$1:A$500,0),MATCH("T611",TIMESHEET!$2:$2,0)),0)</f>
        <v>0</v>
      </c>
      <c r="BB5">
        <f>IFERROR(INDEX(TIMESHEET!$A$1:$AI$5000,MATCH(PAYROLL!D5,TIMESHEET!A$1:A$500,0),MATCH("T612",TIMESHEET!$2:$2,0)),0)</f>
        <v>0</v>
      </c>
      <c r="BC5">
        <f>IFERROR(INDEX(TIMESHEET!$A$1:$AI$5000,MATCH(PAYROLL!D5,TIMESHEET!A$1:A$500,0),MATCH("T613",TIMESHEET!$2:$2,0)),0)</f>
        <v>0</v>
      </c>
      <c r="BD5">
        <f>IFERROR(INDEX(TIMESHEET!$A$1:$AI$5000,MATCH(PAYROLL!D5,TIMESHEET!A$1:A$500,0),MATCH("T500",TIMESHEET!$2:$2,0)),0)</f>
        <v>16</v>
      </c>
      <c r="BE5">
        <f>IFERROR(IF(LEFT(INDEX(PIS!O$1:O$500,MATCH(D5,PIS!C$1:C$500,0)),1)="M",T5/AD5/8*(AW5+AX5*1.5+AY5*2+AZ5*3+BA5*2.1+BB5*2.7+BC5*3.9+BD5*0.3),T5/8*(AW5+AX5*1.5+AY5*2+AZ5*3+BA5*2.1+BB5*2.7+BC5*3.9+BD5*0.3)),0)</f>
        <v>2090909.0909090906</v>
      </c>
      <c r="BF5">
        <f>IFERROR(INDEX(ADJ!$A$1:$BZ$1000,MATCH(PAYROLL!$D5,ADJ!A$1:A$500,0),MATCH(PAYROLL!BF$2,ADJ!$2:$2,0)),0)</f>
        <v>0</v>
      </c>
      <c r="BG5">
        <f>IFERROR(INDEX(ADJ!$A$1:$BZ$1000,MATCH(PAYROLL!D5,ADJ!A$1:A$500,0),MATCH(PAYROLL!BG$2,ADJ!$2:$2,0)),0)</f>
        <v>0</v>
      </c>
      <c r="BH5">
        <f>IFERROR(INDEX(ADJ!$A$1:$BZ$1000,MATCH(PAYROLL!D5,ADJ!A$1:A$500,0),MATCH(PAYROLL!BH$2,ADJ!$2:$2,0)),0)</f>
        <v>0</v>
      </c>
      <c r="BI5">
        <f>IFERROR(INDEX(ADJ!$A$1:$BZ$1000,MATCH(PAYROLL!D5,ADJ!A$1:A$500,0),MATCH(PAYROLL!BI$2,ADJ!$2:$2,0)),0)</f>
        <v>0</v>
      </c>
      <c r="BJ5">
        <f>IFERROR(INDEX(ADJ!$A$1:$BZ$1000,MATCH(PAYROLL!D5,ADJ!A$1:A$500,0),MATCH(PAYROLL!BJ$2,ADJ!$2:$2,0)),0)</f>
        <v>0</v>
      </c>
      <c r="BK5">
        <f>SUM(BF5:BJ5)</f>
        <v>0</v>
      </c>
      <c r="BL5">
        <f>IFERROR(INDEX(ADJ!$A$1:$BZ$1000,MATCH(PAYROLL!D5,ADJ!A$1:A$500,0),MATCH(PAYROLL!BL$2,ADJ!$2:$2,0)),0)</f>
        <v>0</v>
      </c>
      <c r="BM5">
        <f>IFERROR(INDEX(ADJ!$A$1:$BZ$1000,MATCH(PAYROLL!D5,ADJ!A$1:A$500,0),MATCH(PAYROLL!BM$2,ADJ!$2:$2,0)),0)</f>
        <v>0</v>
      </c>
      <c r="BN5">
        <f>IFERROR(INDEX(ADJ!$A$1:$BZ$1000,MATCH(PAYROLL!D5,ADJ!A$1:A$500,0),MATCH(PAYROLL!BN$2,ADJ!$2:$2,0)),0)</f>
        <v>0</v>
      </c>
      <c r="BO5">
        <f>IFERROR(INDEX(ADJ!$A$1:$BZ$1000,MATCH(PAYROLL!D5,ADJ!A$1:A$500,0),MATCH(PAYROLL!BO$2,ADJ!$2:$2,0)),0)</f>
        <v>0</v>
      </c>
      <c r="BP5">
        <f>SUM(AM5,AV5,BE5,BK5,BL5:BO5)</f>
        <v>12090909.09090909</v>
      </c>
      <c r="BQ5">
        <f>BO5</f>
        <v>0</v>
      </c>
      <c r="BR5">
        <f>IFERROR(ROUND(IF(LEFT(INDEX(PIS!O$1:O$500,MATCH(D5,PIS!C$1:C$500,0)),1)="D",T5/8*(BD5*0.3),IF(LEFT(INDEX(PIS!O$1:O$500,MATCH(D5,PIS!C$1:C$500,0)),1)="H",T5*($BD5*0.3),T5/$AD5/8*($BD5*0.3))),0),0)</f>
        <v>272727</v>
      </c>
      <c r="BS5">
        <f>IF(AP5&lt;1,0,MIN(AP5,730000))</f>
        <v>0</v>
      </c>
      <c r="BT5">
        <f>IFERROR(ROUND((BE5-SUM(AW5:BC5)*T5/AD5/8),0)-BR5,0)</f>
        <v>909091</v>
      </c>
      <c r="BU5">
        <f>AO5</f>
        <v>0</v>
      </c>
      <c r="BV5">
        <f>SUM(BQ5:BU5)</f>
        <v>1181818</v>
      </c>
      <c r="BW5">
        <f>BP5-BV5</f>
        <v>10909091.09090909</v>
      </c>
      <c r="BX5">
        <f>IFERROR(IF(RIGHT(INDEX(PIS!O$1:O$500,MATCH(D5,PIS!C$1:C$500,0)),5)="Gross",MIN(U5+V5,VLOOKUP("R700",TSC!B:C,2,0)*VLOOKUP("R101",TSC!B:C,2,0))*VLOOKUP("R701",TSC!B:C,2,0)%,0),0)</f>
        <v>800000</v>
      </c>
      <c r="BY5">
        <f>IFERROR(IF(RIGHT(INDEX(PIS!O$1:O$500,MATCH(D5,PIS!C$1:C$500,0)),5)="Gross",MIN(U5+V5,VLOOKUP("R700",TSC!B:C,2,0)*VLOOKUP("R101",TSC!B:C,2,0))*VLOOKUP("T704",TSC!B:C,2,0)%,0),0)</f>
        <v>150000</v>
      </c>
      <c r="BZ5">
        <f>IFERROR(IF(RIGHT(INDEX(PIS!O$1:O$500,MATCH(D5,PIS!C$1:C$500,0)),5)="Gross",MIN(U5+V5,VLOOKUP("R700",TSC!B:C,2,0)*VLOOKUP("R101",TSC!B:C,2,0))*VLOOKUP("T705",TSC!B:C,2,0)%,0),0)</f>
        <v>100000</v>
      </c>
      <c r="CA5">
        <f>IFERROR(INDEX(ADJ!$A$1:$BZ$1000,MATCH(PAYROLL!D5,ADJ!A$1:A$500,0),MATCH(PAYROLL!CA$2,ADJ!$2:$2,0)),0)</f>
        <v>0</v>
      </c>
      <c r="CB5">
        <f>IFERROR(INDEX(ADJ!$A$1:$BZ$1000,MATCH(PAYROLL!D5,ADJ!A$1:A$500,0),MATCH(PAYROLL!CB$2,ADJ!$2:$2,0)),0)</f>
        <v>0</v>
      </c>
      <c r="CC5">
        <f>SUM(BX5:CB5)</f>
        <v>1050000</v>
      </c>
      <c r="CD5">
        <f>IFERROR(INDEX(PIS!$A$1:$BZ$1000,MATCH(PAYROLL!D5,PIS!C$1:C$500,0),MATCH(PAYROLL!CD$1,PIS!$1:$1,0)),0)</f>
        <v>0</v>
      </c>
      <c r="CE5">
        <f>IFERROR(IF(OR(INDEX(PIS!P$1:P$500,MATCH(D5,PIS!C$1:C$500,0))="LT2",INDEX(PIS!P$1:P$500,MATCH(D5,PIS!C$1:C$500,0))="P10"),0,SUM(CC5,CD5*VLOOKUP("R601",TSC!B:C,2,0),VLOOKUP("R602",TSC!B:C,2,0))),0)</f>
        <v>12050000</v>
      </c>
      <c r="CF5">
        <f>MAX(BW5-CE5,0)</f>
        <v>0</v>
      </c>
      <c r="CG5">
        <f>IFERROR(IF(OR(RIGHT(INDEX(PIS!P$1:P$500,MATCH(D5,PIS!C$1:C$500,0)),5)="P10",RIGHT(INDEX(PIS!P$1:P$500,MATCH(D5,PIS!C$1:C$500,0)),5)="CK"),0,IF(CF5&lt;=5000000,CF5*5%,IF(CF5&lt;=10000000,CF5*10%-250000,IF(CF5&lt;=18000000,CF5*15%-750000,IF(CF5&lt;=32000000,CF5*20%-1650000,IF(CF5&lt;=52000000,CF5*25%-3250000,IF(CF5&lt;=80000000,BH5*30%-5850000,CF5*35%-9850000))))))),0)</f>
        <v>0</v>
      </c>
      <c r="CH5">
        <f>IFERROR(IF(OR(INDEX(PIS!P$1:P$500,MATCH(D5,PIS!C$1:C$500,0))="LT",INDEX(PIS!P$1:P$500,MATCH(D5,PIS!C$1:C$500,0))="CK"),0,IF(CF5&lt;2000000,0,CF5*10%)),0)</f>
        <v>0</v>
      </c>
      <c r="CI5">
        <f>IFERROR(INDEX(ADJ!$A$1:$BZ$1000,MATCH(PAYROLL!D5,ADJ!A$1:A$500,0),MATCH(PAYROLL!CI$2,ADJ!$2:$2,0)),0)</f>
        <v>0</v>
      </c>
      <c r="CJ5">
        <f>IFERROR(INDEX(ADJ!$A$1:$BZ$1000,MATCH(PAYROLL!D5,ADJ!A$1:A$500,0),MATCH(PAYROLL!CJ$2,ADJ!$2:$2,0)),0)</f>
        <v>0</v>
      </c>
      <c r="CK5">
        <f>IFERROR(INDEX(ADJ!$A$1:$BZ$1000,MATCH(PAYROLL!D5,ADJ!A$1:A$500,0),MATCH(PAYROLL!CK$2,ADJ!$2:$2,0)),0)</f>
        <v>0</v>
      </c>
      <c r="CL5">
        <f>SUM(CG5:CK5)</f>
        <v>0</v>
      </c>
      <c r="CM5">
        <f>ROUND(SUM(CH5:CK5),0)</f>
        <v>0</v>
      </c>
      <c r="CN5">
        <f>IFERROR(INDEX(CSDA!D$1:D$500,MATCH($CN$2,CSDA!C$1:C$500,0)),0)</f>
        <v>45000</v>
      </c>
      <c r="CO5">
        <f>IFERROR(INDEX(ADJ!$A$1:$BZ$1000,MATCH(PAYROLL!D5,ADJ!A$1:A$500,0),MATCH(PAYROLL!CO$2,ADJ!$2:$2,0)),0)</f>
        <v>0</v>
      </c>
      <c r="CP5">
        <f>IFERROR(INDEX(ADJ!$A$1:$BZ$1000,MATCH(PAYROLL!D5,ADJ!A$1:A$500,0),MATCH(PAYROLL!CP$2,ADJ!$2:$2,0)),0)</f>
        <v>0</v>
      </c>
      <c r="CQ5">
        <f>BP5-CL5-CI5-CM5-CN5-CO5-CP5-CC5</f>
        <v>10995909.09090909</v>
      </c>
      <c r="CR5">
        <f>IFERROR(IF(RIGHT(INDEX(PIS!O$1:O$500,MATCH(D5,PIS!C$1:C$500,0)),5)="Gross",MIN(U5+V5,VLOOKUP("R700",TSC!B:C,2,0)*VLOOKUP("R101",TSC!B:C,2,0))*(VLOOKUP("T711",TSC!B:C,2,0)+VLOOKUP("T712",TSC!B:C,2,0))%,MIN(T5+V5,VLOOKUP("R700",TSC!B:C,2,0)*VLOOKUP("R101",TSC!B:C,2,0))*(VLOOKUP("T711",TSC!B:C,2,0)+VLOOKUP("T712",TSC!B:C,2,0)+VLOOKUP("R701",TSC!B:C,2,0))%),0)</f>
        <v>1700000.0000000002</v>
      </c>
      <c r="CS5">
        <f>IFERROR(IF(RIGHT(INDEX(PIS!O$1:O$500,MATCH(D5,PIS!C$1:C$500,0)),5)="Gross",MIN(U5+V5,VLOOKUP("R700",TSC!B:C,2,0)*VLOOKUP("R101",TSC!B:C,2,0))*(VLOOKUP("T714",TSC!B:C,2,0))%,MIN(T5+V5,VLOOKUP("R700",TSC!B:C,2,0)*VLOOKUP("R101",TSC!B:C,2,0))*(VLOOKUP("T704",TSC!B:C,2,0)+VLOOKUP("T714",TSC!B:C,2,0))%),0)</f>
        <v>300000</v>
      </c>
      <c r="CT5">
        <f>IFERROR(IF(RIGHT(INDEX(PIS!O$1:O$500,MATCH(D5,PIS!C$1:C$500,0)),5)="Gross",MIN(U5+V5,VLOOKUP("R700",TSC!B:C,2,0)*VLOOKUP("R101",TSC!B:C,2,0))*VLOOKUP("T705",TSC!B:C,2,0)%,MIN(T5+V5,VLOOKUP("R700",TSC!B:C,2,0)*VLOOKUP("R101",TSC!B:C,2,0))*VLOOKUP("T705",TSC!B:C,2,0)%),0)</f>
        <v>100000</v>
      </c>
      <c r="CU5">
        <f>IFERROR(IF(RIGHT(INDEX(PIS!O$1:O$500,MATCH(D5,PIS!C$1:C$500,0)),5)="Gross",MIN(U5+V5,VLOOKUP("R700",TSC!B:C,2,0)*VLOOKUP("R101",TSC!B:C,2,0))*(VLOOKUP("T713",TSC!B:C,2,0))%,MIN(T5+V5,VLOOKUP("R700",TSC!B:C,2,0)*VLOOKUP("R101",TSC!B:C,2,0))*(VLOOKUP("T713",TSC!B:C,2,0))%),0)</f>
        <v>50000</v>
      </c>
      <c r="CV5">
        <f>IFERROR(INDEX(ADJ!$A$1:$BZ$1000,MATCH(PAYROLL!D5,ADJ!A$1:A$500,0),MATCH(PAYROLL!CV$2,ADJ!$2:$2,0)),0)</f>
        <v>0</v>
      </c>
      <c r="CW5">
        <f>IFERROR(INDEX(ADJ!$A$1:$BZ$1000,MATCH(PAYROLL!D5,ADJ!A$1:A$500,0),MATCH(PAYROLL!CW$2,ADJ!$2:$2,0)),0)</f>
        <v>0</v>
      </c>
      <c r="CX5">
        <f>SUM(CR5:CW5)</f>
        <v>2150000</v>
      </c>
      <c r="CY5">
        <f>IFERROR(IF(INDEX(PIS!I$1:I$500,MATCH(D5,PIS!C$1:C$500,0))="",IF(CR5&gt;0,MIN(VLOOKUP("R700",TSC!B:C,2,0)*VLOOKUP("R101",TSC!B:C,2,0),T5)*(VLOOKUP("R202",TSC!B:C,2,0))%,0),0)+IFERROR(INDEX(ADJ!$A$1:$BZ$1000,MATCH(PAYROLL!$D5,ADJ!A$1:A$500,0),MATCH(PAYROLL!CY$2,ADJ!$2:$2,0)),0),0)</f>
        <v>200000</v>
      </c>
      <c r="CZ5">
        <f>IFERROR(INDEX(CSDA!D$1:D$500,MATCH($CZ$2,CSDA!C$1:C$500,0)),0)</f>
        <v>0</v>
      </c>
      <c r="DA5">
        <f>ROUND(T5*0.1%,0)</f>
        <v>10000</v>
      </c>
      <c r="DB5">
        <f t="array" ref="DB5">IFERROR(INDEX(CSDA!D$1:D$500,MATCH("Trích giữ"&amp;PAYROLL!DB$2,CSDA!A$1:A$500&amp;CSDA!C$1:C$500,0)),0)</f>
        <v>0</v>
      </c>
      <c r="DC5">
        <f t="array" ref="DC5">IFERROR(INDEX(CSDA!D$1:D$500,MATCH("Trích giữ"&amp;PAYROLL!DC$2,CSDA!A$1:A$500&amp;CSDA!C$1:C$500,0)),0)</f>
        <v>30000</v>
      </c>
      <c r="DD5">
        <f>(550000+550000+12000*4)/12+20000</f>
        <v>115666.66666666667</v>
      </c>
      <c r="DE5">
        <f t="array" ref="DE5">IFERROR(INDEX(CSDA!D$1:D$500,MATCH("Trích giữ"&amp;PAYROLL!DE$2,CSDA!A$1:A$500&amp;CSDA!C$1:C$500,0)),0)</f>
        <v>0</v>
      </c>
      <c r="DF5">
        <f>IFERROR(INDEX(CSDA!D$1:D$500,MATCH(PAYROLL!DF$2,CSDA!C$1:C$500,0)),0)</f>
        <v>0</v>
      </c>
      <c r="DG5">
        <f>IFERROR(T5/AD5*11/12,0)</f>
        <v>416666.66666666669</v>
      </c>
      <c r="DH5">
        <f>IFERROR(T5/AD5,0)</f>
        <v>454545.45454545453</v>
      </c>
      <c r="DI5">
        <f t="array" ref="DI5">IFERROR(INDEX(CSDA!D$1:D$500,MATCH("Trích giữ"&amp;PAYROLL!DI$2,CSDA!A$1:A$500&amp;CSDA!C$1:C$500,0)),0)</f>
        <v>0</v>
      </c>
      <c r="DJ5">
        <f>IF(U5=0,T5*21.5%-BL5,0)</f>
        <v>0</v>
      </c>
      <c r="DK5">
        <f t="array" ref="DK5">IFERROR(INDEX(CSDA!D$1:D$500,MATCH("Trích giữ"&amp;PAYROLL!DK$2,CSDA!A$1:A$500&amp;CSDA!C$1:C$500,0)),0)</f>
        <v>0</v>
      </c>
      <c r="DL5">
        <f>IFERROR(INDEX(CSDA!D$1:D$500,MATCH(PAYROLL!DL$2,CSDA!C$1:C$500,0))/12,0)</f>
        <v>0</v>
      </c>
      <c r="DM5">
        <f>SUM(DB5:DL5)</f>
        <v>1016878.7878787878</v>
      </c>
      <c r="DN5">
        <f>IFERROR(INDEX(ADJ!$A$1:$BZ$1000,MATCH(PAYROLL!D5,ADJ!A$1:A$500,0),MATCH(PAYROLL!DN$2,ADJ!$2:$2,0)),0)</f>
        <v>0</v>
      </c>
      <c r="DO5">
        <f>IFERROR(SUM(BP5,DM5,DN5,CY5,CX5,DA5),0)</f>
        <v>15467787.878787877</v>
      </c>
      <c r="DP5">
        <f>DO5*7%</f>
        <v>1082745.1515151516</v>
      </c>
      <c r="DQ5">
        <f>IFERROR(INDEX(ADJ!$A$1:$BZ$1000,MATCH(PAYROLL!D5,ADJ!A$1:A$500,0),MATCH(PAYROLL!DQ$2,ADJ!$2:$2,0)),0)</f>
        <v>0</v>
      </c>
      <c r="DR5">
        <f>IFERROR(INDEX(ADJ!$A$1:$BZ$1000,MATCH(PAYROLL!D5,ADJ!A$1:A$500,0),MATCH(PAYROLL!DR$2,ADJ!$2:$2,0)),0)</f>
        <v>0</v>
      </c>
      <c r="DS5">
        <f>SUM(DP5:DR5)</f>
        <v>1082745.1515151516</v>
      </c>
      <c r="DT5">
        <f>EK5</f>
        <v>454545.45454545453</v>
      </c>
      <c r="DU5">
        <f>SUM(DO5:DR5)</f>
        <v>16550533.030303029</v>
      </c>
      <c r="DV5">
        <f>ROUND(DU5*0.1,0)</f>
        <v>1655053</v>
      </c>
      <c r="DW5">
        <f>DU5+DV5</f>
        <v>18205586.030303031</v>
      </c>
      <c r="DZ5">
        <f>IFERROR(INDEX(ADJ!$A$1:$BZ$1000,MATCH(PAYROLL!$D5,ADJ!A$1:A$500,0),MATCH(PAYROLL!DZ$2,ADJ!$2:$2,0)),0)</f>
        <v>0</v>
      </c>
      <c r="EA5">
        <f>IFERROR(INDEX(ADJ!$A$1:$BZ$1000,MATCH(PAYROLL!$D5,ADJ!A$1:A$500,0),MATCH(PAYROLL!EA$2,ADJ!$2:$2,0)),0)</f>
        <v>0</v>
      </c>
      <c r="EB5">
        <f>IFERROR(INDEX(ADJ!$A$1:$BZ$1000,MATCH(PAYROLL!$D5,ADJ!A$1:A$500,0),MATCH(PAYROLL!EB$2,ADJ!$2:$2,0)),0)</f>
        <v>0</v>
      </c>
      <c r="EC5">
        <f>IFERROR(INDEX(ADJ!$A$1:$BZ$1000,MATCH(PAYROLL!$D5,ADJ!A$1:A$500,0),MATCH(PAYROLL!EC$2,ADJ!$2:$2,0)),0)</f>
        <v>0</v>
      </c>
      <c r="ED5">
        <f>IFERROR(INDEX(ADJ!$A$1:$BZ$1000,MATCH(PAYROLL!$D5,ADJ!A$1:A$500,0),MATCH(PAYROLL!ED$2,ADJ!$2:$2,0)),0)</f>
        <v>0</v>
      </c>
      <c r="EE5">
        <f>IFERROR(T5/AD5*AG5,0)</f>
        <v>0</v>
      </c>
      <c r="EF5">
        <f>IFERROR(T5/AD5*AF5,0)</f>
        <v>454545.45454545453</v>
      </c>
      <c r="EG5">
        <f>IFERROR(INDEX(ADJ!$A$1:$BZ$1000,MATCH(PAYROLL!$D5,ADJ!A$1:A$500,0),MATCH(PAYROLL!EG$2,ADJ!$2:$2,0)),0)</f>
        <v>0</v>
      </c>
      <c r="EH5">
        <f>IFERROR(INDEX(ADJ!$A$1:$BZ$1000,MATCH(PAYROLL!$D5,ADJ!A$1:A$500,0),MATCH(PAYROLL!EH$2,ADJ!$2:$2,0)),0)</f>
        <v>0</v>
      </c>
      <c r="EI5">
        <f>IFERROR(INDEX(ADJ!$A$1:$BZ$1000,MATCH(PAYROLL!D5,ADJ!A$1:A$500,0),MATCH(PAYROLL!EI$2,ADJ!$2:$2,0)),0)</f>
        <v>0</v>
      </c>
      <c r="EJ5">
        <f>IFERROR(INDEX(ADJ!$A$1:$BZ$1000,MATCH(PAYROLL!$D5,ADJ!A$1:A$500,0),MATCH(PAYROLL!EJ$2,ADJ!$2:$2,0)),0)</f>
        <v>0</v>
      </c>
      <c r="EK5">
        <f>SUM(DZ5:EJ5)</f>
        <v>454545.45454545453</v>
      </c>
      <c r="EP5">
        <f>IFERROR(INDEX(ADJ!$A$1:$BZ$1000,MATCH(PAYROLL!D5,ADJ!A$1:A$500,0),MATCH(PAYROLL!EP$2,ADJ!$2:$2,0)),0)</f>
        <v>0</v>
      </c>
    </row>
    <row r="6" spans="1:1080">
      <c r="A6">
        <v>4</v>
      </c>
      <c r="B6" t="s">
        <v>277</v>
      </c>
      <c r="D6" t="s">
        <v>278</v>
      </c>
      <c r="S6">
        <f>IFERROR(INDEX(PIS!$A$1:$BZ$1000,MATCH($D6,PIS!C$1:C$500,0),MATCH("Lương CB tháng trước",PIS!$1:$1,0)),0)</f>
        <v>0</v>
      </c>
      <c r="T6">
        <f>IFERROR(INDEX(PIS!$A$1:$BZ$1000,MATCH($D6,PIS!C$1:C$500,0),MATCH("Lương CB hiện tại",PIS!$1:$1,0)),0)</f>
        <v>0</v>
      </c>
      <c r="U6">
        <f>IFERROR(INDEX(PIS!$A$1:$BZ$1000,MATCH($D6,PIS!C$1:C$500,0),MATCH("Lương đóng BHBB",PIS!$1:$1,0)),0)</f>
        <v>0</v>
      </c>
      <c r="V6">
        <f>IFERROR(INDEX(PIS!$A$1:$BZ$1000,MATCH($D6,PIS!C$1:C$500,0),MATCH(V$2,PIS!$2:$2,0)),0)</f>
        <v>0</v>
      </c>
      <c r="W6">
        <f>IFERROR(INDEX(PIS!$A$1:$BZ$1000,MATCH($D6,PIS!C$1:C$500,0),MATCH(W$2,PIS!$2:$2,0)),0)</f>
        <v>0</v>
      </c>
      <c r="X6">
        <f>IFERROR(INDEX(PIS!$A$1:$BZ$1000,MATCH($D6,PIS!C$1:C$500,0),MATCH(X$2,PIS!$2:$2,0)),0)</f>
        <v>0</v>
      </c>
      <c r="Y6">
        <f>IFERROR(INDEX(PIS!$A$1:$BZ$1000,MATCH($D6,PIS!C$1:C$500,0),MATCH(Y$2,PIS!$2:$2,0)),0)</f>
        <v>0</v>
      </c>
      <c r="Z6">
        <f>IFERROR(INDEX(PIS!$A$1:$BZ$1000,MATCH($D6,PIS!C$1:C$500,0),MATCH(Z$2,PIS!$2:$2,0)),0)</f>
        <v>0</v>
      </c>
      <c r="AA6">
        <f>IFERROR(INDEX(PIS!$A$1:$BZ$1000,MATCH($D6,PIS!C$1:C$500,0),MATCH(AA$2,PIS!$2:$2,0)),0)</f>
        <v>0</v>
      </c>
      <c r="AB6">
        <f>IFERROR(INDEX(PIS!$A$1:$BZ$1000,MATCH($D6,PIS!C$1:C$500,0),MATCH(AB$2,PIS!$2:$2,0)),0)</f>
        <v>0</v>
      </c>
      <c r="AC6">
        <f>SUM(V6:AB6)</f>
        <v>0</v>
      </c>
      <c r="AD6">
        <f>IFERROR(INDEX(TIMESHEET!$A$1:$AI$5000,MATCH($D6,TIMESHEET!A$1:A$500,0),MATCH("T100",TIMESHEET!$2:$2,0)),0)</f>
        <v>22</v>
      </c>
      <c r="AE6">
        <f>IFERROR(INDEX(TIMESHEET!$A$1:$AI$5000,MATCH($D6,TIMESHEET!A$1:A$500,0),MATCH("T202",TIMESHEET!$2:$2,0)),0)</f>
        <v>22</v>
      </c>
      <c r="AF6">
        <f>IFERROR(INDEX(TIMESHEET!$A$1:$AI$5000,MATCH($D6,TIMESHEET!A$1:A$500,0),MATCH("T302",TIMESHEET!$2:$2,0)),0)</f>
        <v>0</v>
      </c>
      <c r="AG6">
        <f>IFERROR(INDEX(TIMESHEET!$A$1:$AI$5000,MATCH($D6,TIMESHEET!A$1:A$500,0),MATCH("T406",TIMESHEET!$2:$2,0)),0)</f>
        <v>0</v>
      </c>
      <c r="AH6">
        <f>AE6+AG6+AF6</f>
        <v>22</v>
      </c>
      <c r="AI6">
        <f>IFERROR(INDEX(TIMESHEET!$A$1:$AI$5000,MATCH($D6,TIMESHEET!A$1:A$500,0),MATCH("T409",TIMESHEET!$2:$2,0)),0)</f>
        <v>0</v>
      </c>
      <c r="AJ6">
        <f>IF(AD6-AE6&lt;0,0,AD6-AE6-AF6-AG6)</f>
        <v>0</v>
      </c>
      <c r="AK6">
        <f>IFERROR((T6/AD6*(AD6-AJ6)+T6/AD6*AI6*0.7),0)</f>
        <v>0</v>
      </c>
      <c r="AL6">
        <f>IFERROR(INDEX(ADJ!$A$1:$BZ$1000,MATCH(PAYROLL!D6,ADJ!A$1:A$500,0),MATCH(PAYROLL!AL$2,ADJ!$2:$2,0)),0)</f>
        <v>0</v>
      </c>
      <c r="AM6">
        <f>SUM(AK6:AL6)</f>
        <v>0</v>
      </c>
      <c r="AN6">
        <f t="shared" si="0"/>
        <v>0</v>
      </c>
      <c r="AO6">
        <f t="shared" si="0"/>
        <v>0</v>
      </c>
      <c r="AP6">
        <f>IFERROR(ROUND(X6/$AD6*$AE6,0),0)</f>
        <v>0</v>
      </c>
      <c r="AQ6">
        <f t="shared" si="1"/>
        <v>0</v>
      </c>
      <c r="AR6">
        <f t="shared" si="1"/>
        <v>0</v>
      </c>
      <c r="AS6">
        <f t="shared" si="1"/>
        <v>0</v>
      </c>
      <c r="AT6">
        <f>IFERROR(IF((AE6+AF6+AG6)&gt;13,AB6,ROUND(AB6/AD6*AH6,0)),0)</f>
        <v>0</v>
      </c>
      <c r="AU6">
        <f>IFERROR(INDEX(ADJ!$A$1:$BZ$1000,MATCH(PAYROLL!D6,ADJ!A$1:A$500,0),MATCH(PAYROLL!AU$2,ADJ!$2:$2,0)),0)</f>
        <v>0</v>
      </c>
      <c r="AV6">
        <f>ROUND(SUM(AN6:AU6),0)</f>
        <v>0</v>
      </c>
      <c r="AW6">
        <f>IFERROR(INDEX(TIMESHEET!$A$1:$AI$5000,MATCH(PAYROLL!D6,TIMESHEET!A$1:A$500,0),MATCH("T620",TIMESHEET!$2:$2,0)),0)</f>
        <v>0</v>
      </c>
      <c r="AX6">
        <f>IFERROR(INDEX(TIMESHEET!$A$1:$AI$5000,MATCH(PAYROLL!D6,TIMESHEET!A$1:A$500,0),MATCH("T601",TIMESHEET!$2:$2,0)),0)</f>
        <v>3</v>
      </c>
      <c r="AY6">
        <f>IFERROR(INDEX(TIMESHEET!$A$1:$AI$5000,MATCH(PAYROLL!D6,TIMESHEET!A$1:A$500,0),MATCH("T602",TIMESHEET!$2:$2,0)),0)</f>
        <v>0</v>
      </c>
      <c r="AZ6">
        <f>IFERROR(INDEX(TIMESHEET!$A$1:$AI$5000,MATCH(PAYROLL!D6,TIMESHEET!A$1:A$500,0),MATCH("T603",TIMESHEET!$2:$2,0)),0)</f>
        <v>0</v>
      </c>
      <c r="BA6">
        <f>IFERROR(INDEX(TIMESHEET!$A$1:$AI$5000,MATCH(PAYROLL!D6,TIMESHEET!A$1:A$500,0),MATCH("T611",TIMESHEET!$2:$2,0)),0)</f>
        <v>0</v>
      </c>
      <c r="BB6">
        <f>IFERROR(INDEX(TIMESHEET!$A$1:$AI$5000,MATCH(PAYROLL!D6,TIMESHEET!A$1:A$500,0),MATCH("T612",TIMESHEET!$2:$2,0)),0)</f>
        <v>0</v>
      </c>
      <c r="BC6">
        <f>IFERROR(INDEX(TIMESHEET!$A$1:$AI$5000,MATCH(PAYROLL!D6,TIMESHEET!A$1:A$500,0),MATCH("T613",TIMESHEET!$2:$2,0)),0)</f>
        <v>0</v>
      </c>
      <c r="BD6">
        <f>IFERROR(INDEX(TIMESHEET!$A$1:$AI$5000,MATCH(PAYROLL!D6,TIMESHEET!A$1:A$500,0),MATCH("T500",TIMESHEET!$2:$2,0)),0)</f>
        <v>80</v>
      </c>
      <c r="BE6">
        <f>IFERROR(IF(LEFT(INDEX(PIS!O$1:O$500,MATCH(D6,PIS!C$1:C$500,0)),1)="M",T6/AD6/8*(AW6+AX6*1.5+AY6*2+AZ6*3+BA6*2.1+BB6*2.7+BC6*3.9+BD6*0.3),T6/8*(AW6+AX6*1.5+AY6*2+AZ6*3+BA6*2.1+BB6*2.7+BC6*3.9+BD6*0.3)),0)</f>
        <v>0</v>
      </c>
      <c r="BF6">
        <f>IFERROR(INDEX(ADJ!$A$1:$BZ$1000,MATCH(PAYROLL!$D6,ADJ!A$1:A$500,0),MATCH(PAYROLL!BF$2,ADJ!$2:$2,0)),0)</f>
        <v>0</v>
      </c>
      <c r="BG6">
        <f>IFERROR(INDEX(ADJ!$A$1:$BZ$1000,MATCH(PAYROLL!D6,ADJ!A$1:A$500,0),MATCH(PAYROLL!BG$2,ADJ!$2:$2,0)),0)</f>
        <v>0</v>
      </c>
      <c r="BH6">
        <f>IFERROR(INDEX(ADJ!$A$1:$BZ$1000,MATCH(PAYROLL!D6,ADJ!A$1:A$500,0),MATCH(PAYROLL!BH$2,ADJ!$2:$2,0)),0)</f>
        <v>0</v>
      </c>
      <c r="BI6">
        <f>IFERROR(INDEX(ADJ!$A$1:$BZ$1000,MATCH(PAYROLL!D6,ADJ!A$1:A$500,0),MATCH(PAYROLL!BI$2,ADJ!$2:$2,0)),0)</f>
        <v>0</v>
      </c>
      <c r="BJ6">
        <f>IFERROR(INDEX(ADJ!$A$1:$BZ$1000,MATCH(PAYROLL!D6,ADJ!A$1:A$500,0),MATCH(PAYROLL!BJ$2,ADJ!$2:$2,0)),0)</f>
        <v>0</v>
      </c>
      <c r="BK6">
        <f>SUM(BF6:BJ6)</f>
        <v>0</v>
      </c>
      <c r="BL6">
        <f>IFERROR(INDEX(ADJ!$A$1:$BZ$1000,MATCH(PAYROLL!D6,ADJ!A$1:A$500,0),MATCH(PAYROLL!BL$2,ADJ!$2:$2,0)),0)</f>
        <v>0</v>
      </c>
      <c r="BM6">
        <f>IFERROR(INDEX(ADJ!$A$1:$BZ$1000,MATCH(PAYROLL!D6,ADJ!A$1:A$500,0),MATCH(PAYROLL!BM$2,ADJ!$2:$2,0)),0)</f>
        <v>0</v>
      </c>
      <c r="BN6">
        <f>IFERROR(INDEX(ADJ!$A$1:$BZ$1000,MATCH(PAYROLL!D6,ADJ!A$1:A$500,0),MATCH(PAYROLL!BN$2,ADJ!$2:$2,0)),0)</f>
        <v>0</v>
      </c>
      <c r="BO6">
        <f>IFERROR(INDEX(ADJ!$A$1:$BZ$1000,MATCH(PAYROLL!D6,ADJ!A$1:A$500,0),MATCH(PAYROLL!BO$2,ADJ!$2:$2,0)),0)</f>
        <v>0</v>
      </c>
      <c r="BP6">
        <f>SUM(AM6,AV6,BE6,BK6,BL6:BO6)</f>
        <v>0</v>
      </c>
      <c r="BQ6">
        <f>BO6</f>
        <v>0</v>
      </c>
      <c r="BR6">
        <f>IFERROR(ROUND(IF(LEFT(INDEX(PIS!O$1:O$500,MATCH(D6,PIS!C$1:C$500,0)),1)="D",T6/8*(BD6*0.3),IF(LEFT(INDEX(PIS!O$1:O$500,MATCH(D6,PIS!C$1:C$500,0)),1)="H",T6*($BD6*0.3),T6/$AD6/8*($BD6*0.3))),0),0)</f>
        <v>0</v>
      </c>
      <c r="BS6">
        <f>IF(AP6&lt;1,0,MIN(AP6,730000))</f>
        <v>0</v>
      </c>
      <c r="BT6">
        <f>IFERROR(ROUND((BE6-SUM(AW6:BC6)*T6/AD6/8),0)-BR6,0)</f>
        <v>0</v>
      </c>
      <c r="BU6">
        <f>AO6</f>
        <v>0</v>
      </c>
      <c r="BV6">
        <f>SUM(BQ6:BU6)</f>
        <v>0</v>
      </c>
      <c r="BW6">
        <f>BP6-BV6</f>
        <v>0</v>
      </c>
      <c r="BX6">
        <f>IFERROR(IF(RIGHT(INDEX(PIS!O$1:O$500,MATCH(D6,PIS!C$1:C$500,0)),5)="Gross",MIN(U6+V6,VLOOKUP("R700",TSC!B:C,2,0)*VLOOKUP("R101",TSC!B:C,2,0))*VLOOKUP("R701",TSC!B:C,2,0)%,0),0)</f>
        <v>0</v>
      </c>
      <c r="BY6">
        <f>IFERROR(IF(RIGHT(INDEX(PIS!O$1:O$500,MATCH(D6,PIS!C$1:C$500,0)),5)="Gross",MIN(U6+V6,VLOOKUP("R700",TSC!B:C,2,0)*VLOOKUP("R101",TSC!B:C,2,0))*VLOOKUP("T704",TSC!B:C,2,0)%,0),0)</f>
        <v>0</v>
      </c>
      <c r="BZ6">
        <f>IFERROR(IF(RIGHT(INDEX(PIS!O$1:O$500,MATCH(D6,PIS!C$1:C$500,0)),5)="Gross",MIN(U6+V6,VLOOKUP("R700",TSC!B:C,2,0)*VLOOKUP("R101",TSC!B:C,2,0))*VLOOKUP("T705",TSC!B:C,2,0)%,0),0)</f>
        <v>0</v>
      </c>
      <c r="CA6">
        <f>IFERROR(INDEX(ADJ!$A$1:$BZ$1000,MATCH(PAYROLL!D6,ADJ!A$1:A$500,0),MATCH(PAYROLL!CA$2,ADJ!$2:$2,0)),0)</f>
        <v>0</v>
      </c>
      <c r="CB6">
        <f>IFERROR(INDEX(ADJ!$A$1:$BZ$1000,MATCH(PAYROLL!D6,ADJ!A$1:A$500,0),MATCH(PAYROLL!CB$2,ADJ!$2:$2,0)),0)</f>
        <v>0</v>
      </c>
      <c r="CC6">
        <f>SUM(BX6:CB6)</f>
        <v>0</v>
      </c>
      <c r="CD6">
        <f>IFERROR(INDEX(PIS!$A$1:$BZ$1000,MATCH(PAYROLL!D6,PIS!C$1:C$500,0),MATCH(PAYROLL!CD$1,PIS!$1:$1,0)),0)</f>
        <v>0</v>
      </c>
      <c r="CE6">
        <f>IFERROR(IF(OR(INDEX(PIS!P$1:P$500,MATCH(D6,PIS!C$1:C$500,0))="LT2",INDEX(PIS!P$1:P$500,MATCH(D6,PIS!C$1:C$500,0))="P10"),0,SUM(CC6,CD6*VLOOKUP("R601",TSC!B:C,2,0),VLOOKUP("R602",TSC!B:C,2,0))),0)</f>
        <v>0</v>
      </c>
      <c r="CF6">
        <f>MAX(BW6-CE6,0)</f>
        <v>0</v>
      </c>
      <c r="CG6">
        <f>IFERROR(IF(OR(RIGHT(INDEX(PIS!P$1:P$500,MATCH(D6,PIS!C$1:C$500,0)),5)="P10",RIGHT(INDEX(PIS!P$1:P$500,MATCH(D6,PIS!C$1:C$500,0)),5)="CK"),0,IF(CF6&lt;=5000000,CF6*5%,IF(CF6&lt;=10000000,CF6*10%-250000,IF(CF6&lt;=18000000,CF6*15%-750000,IF(CF6&lt;=32000000,CF6*20%-1650000,IF(CF6&lt;=52000000,CF6*25%-3250000,IF(CF6&lt;=80000000,BH6*30%-5850000,CF6*35%-9850000))))))),0)</f>
        <v>0</v>
      </c>
      <c r="CH6">
        <f>IFERROR(IF(OR(INDEX(PIS!P$1:P$500,MATCH(D6,PIS!C$1:C$500,0))="LT",INDEX(PIS!P$1:P$500,MATCH(D6,PIS!C$1:C$500,0))="CK"),0,IF(CF6&lt;2000000,0,CF6*10%)),0)</f>
        <v>0</v>
      </c>
      <c r="CI6">
        <f>IFERROR(INDEX(ADJ!$A$1:$BZ$1000,MATCH(PAYROLL!D6,ADJ!A$1:A$500,0),MATCH(PAYROLL!CI$2,ADJ!$2:$2,0)),0)</f>
        <v>0</v>
      </c>
      <c r="CJ6">
        <f>IFERROR(INDEX(ADJ!$A$1:$BZ$1000,MATCH(PAYROLL!D6,ADJ!A$1:A$500,0),MATCH(PAYROLL!CJ$2,ADJ!$2:$2,0)),0)</f>
        <v>0</v>
      </c>
      <c r="CK6">
        <f>IFERROR(INDEX(ADJ!$A$1:$BZ$1000,MATCH(PAYROLL!D6,ADJ!A$1:A$500,0),MATCH(PAYROLL!CK$2,ADJ!$2:$2,0)),0)</f>
        <v>0</v>
      </c>
      <c r="CL6">
        <f>SUM(CG6:CK6)</f>
        <v>0</v>
      </c>
      <c r="CM6">
        <f>ROUND(SUM(CH6:CK6),0)</f>
        <v>0</v>
      </c>
      <c r="CN6">
        <f>IFERROR(INDEX(CSDA!D$1:D$500,MATCH($CN$2,CSDA!C$1:C$500,0)),0)</f>
        <v>45000</v>
      </c>
      <c r="CO6">
        <f>IFERROR(INDEX(ADJ!$A$1:$BZ$1000,MATCH(PAYROLL!D6,ADJ!A$1:A$500,0),MATCH(PAYROLL!CO$2,ADJ!$2:$2,0)),0)</f>
        <v>0</v>
      </c>
      <c r="CP6">
        <f>IFERROR(INDEX(ADJ!$A$1:$BZ$1000,MATCH(PAYROLL!D6,ADJ!A$1:A$500,0),MATCH(PAYROLL!CP$2,ADJ!$2:$2,0)),0)</f>
        <v>0</v>
      </c>
      <c r="CQ6">
        <f>BP6-CL6-CI6-CM6-CN6-CO6-CP6-CC6</f>
        <v>-45000</v>
      </c>
      <c r="CR6">
        <f>IFERROR(IF(RIGHT(INDEX(PIS!O$1:O$500,MATCH(D6,PIS!C$1:C$500,0)),5)="Gross",MIN(U6+V6,VLOOKUP("R700",TSC!B:C,2,0)*VLOOKUP("R101",TSC!B:C,2,0))*(VLOOKUP("T711",TSC!B:C,2,0)+VLOOKUP("T712",TSC!B:C,2,0))%,MIN(T6+V6,VLOOKUP("R700",TSC!B:C,2,0)*VLOOKUP("R101",TSC!B:C,2,0))*(VLOOKUP("T711",TSC!B:C,2,0)+VLOOKUP("T712",TSC!B:C,2,0)+VLOOKUP("R701",TSC!B:C,2,0))%),0)</f>
        <v>0</v>
      </c>
      <c r="CS6">
        <f>IFERROR(IF(RIGHT(INDEX(PIS!O$1:O$500,MATCH(D6,PIS!C$1:C$500,0)),5)="Gross",MIN(U6+V6,VLOOKUP("R700",TSC!B:C,2,0)*VLOOKUP("R101",TSC!B:C,2,0))*(VLOOKUP("T714",TSC!B:C,2,0))%,MIN(T6+V6,VLOOKUP("R700",TSC!B:C,2,0)*VLOOKUP("R101",TSC!B:C,2,0))*(VLOOKUP("T704",TSC!B:C,2,0)+VLOOKUP("T714",TSC!B:C,2,0))%),0)</f>
        <v>0</v>
      </c>
      <c r="CT6">
        <f>IFERROR(IF(RIGHT(INDEX(PIS!O$1:O$500,MATCH(D6,PIS!C$1:C$500,0)),5)="Gross",MIN(U6+V6,VLOOKUP("R700",TSC!B:C,2,0)*VLOOKUP("R101",TSC!B:C,2,0))*VLOOKUP("T705",TSC!B:C,2,0)%,MIN(T6+V6,VLOOKUP("R700",TSC!B:C,2,0)*VLOOKUP("R101",TSC!B:C,2,0))*VLOOKUP("T705",TSC!B:C,2,0)%),0)</f>
        <v>0</v>
      </c>
      <c r="CU6">
        <f>IFERROR(IF(RIGHT(INDEX(PIS!O$1:O$500,MATCH(D6,PIS!C$1:C$500,0)),5)="Gross",MIN(U6+V6,VLOOKUP("R700",TSC!B:C,2,0)*VLOOKUP("R101",TSC!B:C,2,0))*(VLOOKUP("T713",TSC!B:C,2,0))%,MIN(T6+V6,VLOOKUP("R700",TSC!B:C,2,0)*VLOOKUP("R101",TSC!B:C,2,0))*(VLOOKUP("T713",TSC!B:C,2,0))%),0)</f>
        <v>0</v>
      </c>
      <c r="CV6">
        <f>IFERROR(INDEX(ADJ!$A$1:$BZ$1000,MATCH(PAYROLL!D6,ADJ!A$1:A$500,0),MATCH(PAYROLL!CV$2,ADJ!$2:$2,0)),0)</f>
        <v>0</v>
      </c>
      <c r="CW6">
        <f>IFERROR(INDEX(ADJ!$A$1:$BZ$1000,MATCH(PAYROLL!D6,ADJ!A$1:A$500,0),MATCH(PAYROLL!CW$2,ADJ!$2:$2,0)),0)</f>
        <v>0</v>
      </c>
      <c r="CX6">
        <f>SUM(CR6:CW6)</f>
        <v>0</v>
      </c>
      <c r="CY6">
        <f>IFERROR(IF(INDEX(PIS!I$1:I$500,MATCH(D6,PIS!C$1:C$500,0))="",IF(CR6&gt;0,MIN(VLOOKUP("R700",TSC!B:C,2,0)*VLOOKUP("R101",TSC!B:C,2,0),T6)*(VLOOKUP("R202",TSC!B:C,2,0))%,0),0)+IFERROR(INDEX(ADJ!$A$1:$BZ$1000,MATCH(PAYROLL!$D6,ADJ!A$1:A$500,0),MATCH(PAYROLL!CY$2,ADJ!$2:$2,0)),0),0)</f>
        <v>0</v>
      </c>
      <c r="CZ6">
        <f>IFERROR(INDEX(CSDA!D$1:D$500,MATCH($CZ$2,CSDA!C$1:C$500,0)),0)</f>
        <v>0</v>
      </c>
      <c r="DA6">
        <f>ROUND(T6*0.1%,0)</f>
        <v>0</v>
      </c>
      <c r="DB6">
        <f t="array" ref="DB6">IFERROR(INDEX(CSDA!D$1:D$500,MATCH("Trích giữ"&amp;PAYROLL!DB$2,CSDA!A$1:A$500&amp;CSDA!C$1:C$500,0)),0)</f>
        <v>0</v>
      </c>
      <c r="DC6">
        <f t="array" ref="DC6">IFERROR(INDEX(CSDA!D$1:D$500,MATCH("Trích giữ"&amp;PAYROLL!DC$2,CSDA!A$1:A$500&amp;CSDA!C$1:C$500,0)),0)</f>
        <v>30000</v>
      </c>
      <c r="DD6">
        <f>(550000+550000+12000*4)/12+20000</f>
        <v>115666.66666666667</v>
      </c>
      <c r="DE6">
        <f t="array" ref="DE6">IFERROR(INDEX(CSDA!D$1:D$500,MATCH("Trích giữ"&amp;PAYROLL!DE$2,CSDA!A$1:A$500&amp;CSDA!C$1:C$500,0)),0)</f>
        <v>0</v>
      </c>
      <c r="DF6">
        <f>IFERROR(INDEX(CSDA!D$1:D$500,MATCH(PAYROLL!DF$2,CSDA!C$1:C$500,0)),0)</f>
        <v>0</v>
      </c>
      <c r="DG6">
        <f>IFERROR(T6/AD6*11/12,0)</f>
        <v>0</v>
      </c>
      <c r="DH6">
        <f>IFERROR(T6/AD6,0)</f>
        <v>0</v>
      </c>
      <c r="DI6">
        <f t="array" ref="DI6">IFERROR(INDEX(CSDA!D$1:D$500,MATCH("Trích giữ"&amp;PAYROLL!DI$2,CSDA!A$1:A$500&amp;CSDA!C$1:C$500,0)),0)</f>
        <v>0</v>
      </c>
      <c r="DJ6">
        <f>IF(U6=0,T6*21.5%-BL6,0)</f>
        <v>0</v>
      </c>
      <c r="DK6">
        <f t="array" ref="DK6">IFERROR(INDEX(CSDA!D$1:D$500,MATCH("Trích giữ"&amp;PAYROLL!DK$2,CSDA!A$1:A$500&amp;CSDA!C$1:C$500,0)),0)</f>
        <v>0</v>
      </c>
      <c r="DL6">
        <f>IFERROR(INDEX(CSDA!D$1:D$500,MATCH(PAYROLL!DL$2,CSDA!C$1:C$500,0))/12,0)</f>
        <v>0</v>
      </c>
      <c r="DM6">
        <f>SUM(DB6:DL6)</f>
        <v>145666.66666666669</v>
      </c>
      <c r="DN6">
        <f>IFERROR(INDEX(ADJ!$A$1:$BZ$1000,MATCH(PAYROLL!D6,ADJ!A$1:A$500,0),MATCH(PAYROLL!DN$2,ADJ!$2:$2,0)),0)</f>
        <v>0</v>
      </c>
      <c r="DO6">
        <f>IFERROR(SUM(BP6,DM6,DN6,CY6,CX6,DA6),0)</f>
        <v>145666.66666666669</v>
      </c>
      <c r="DP6">
        <f>DO6*7%</f>
        <v>10196.66666666667</v>
      </c>
      <c r="DQ6">
        <f>IFERROR(INDEX(ADJ!$A$1:$BZ$1000,MATCH(PAYROLL!D6,ADJ!A$1:A$500,0),MATCH(PAYROLL!DQ$2,ADJ!$2:$2,0)),0)</f>
        <v>0</v>
      </c>
      <c r="DR6">
        <f>IFERROR(INDEX(ADJ!$A$1:$BZ$1000,MATCH(PAYROLL!D6,ADJ!A$1:A$500,0),MATCH(PAYROLL!DR$2,ADJ!$2:$2,0)),0)</f>
        <v>0</v>
      </c>
      <c r="DS6">
        <f>SUM(DP6:DR6)</f>
        <v>10196.66666666667</v>
      </c>
      <c r="DT6">
        <f>EK6</f>
        <v>0</v>
      </c>
      <c r="DU6">
        <f>SUM(DO6:DR6)</f>
        <v>155863.33333333334</v>
      </c>
      <c r="DV6">
        <f>ROUND(DU6*0.1,0)</f>
        <v>15586</v>
      </c>
      <c r="DW6">
        <f>DU6+DV6</f>
        <v>171449.33333333334</v>
      </c>
      <c r="DZ6">
        <f>IFERROR(INDEX(ADJ!$A$1:$BZ$1000,MATCH(PAYROLL!$D6,ADJ!A$1:A$500,0),MATCH(PAYROLL!DZ$2,ADJ!$2:$2,0)),0)</f>
        <v>0</v>
      </c>
      <c r="EA6">
        <f>IFERROR(INDEX(ADJ!$A$1:$BZ$1000,MATCH(PAYROLL!$D6,ADJ!A$1:A$500,0),MATCH(PAYROLL!EA$2,ADJ!$2:$2,0)),0)</f>
        <v>0</v>
      </c>
      <c r="EB6">
        <f>IFERROR(INDEX(ADJ!$A$1:$BZ$1000,MATCH(PAYROLL!$D6,ADJ!A$1:A$500,0),MATCH(PAYROLL!EB$2,ADJ!$2:$2,0)),0)</f>
        <v>0</v>
      </c>
      <c r="EC6">
        <f>IFERROR(INDEX(ADJ!$A$1:$BZ$1000,MATCH(PAYROLL!$D6,ADJ!A$1:A$500,0),MATCH(PAYROLL!EC$2,ADJ!$2:$2,0)),0)</f>
        <v>0</v>
      </c>
      <c r="ED6">
        <f>IFERROR(INDEX(ADJ!$A$1:$BZ$1000,MATCH(PAYROLL!$D6,ADJ!A$1:A$500,0),MATCH(PAYROLL!ED$2,ADJ!$2:$2,0)),0)</f>
        <v>0</v>
      </c>
      <c r="EE6">
        <f>IFERROR(T6/AD6*AG6,0)</f>
        <v>0</v>
      </c>
      <c r="EF6">
        <f>IFERROR(T6/AD6*AF6,0)</f>
        <v>0</v>
      </c>
      <c r="EG6">
        <f>IFERROR(INDEX(ADJ!$A$1:$BZ$1000,MATCH(PAYROLL!$D6,ADJ!A$1:A$500,0),MATCH(PAYROLL!EG$2,ADJ!$2:$2,0)),0)</f>
        <v>0</v>
      </c>
      <c r="EH6">
        <f>IFERROR(INDEX(ADJ!$A$1:$BZ$1000,MATCH(PAYROLL!$D6,ADJ!A$1:A$500,0),MATCH(PAYROLL!EH$2,ADJ!$2:$2,0)),0)</f>
        <v>0</v>
      </c>
      <c r="EI6">
        <f>IFERROR(INDEX(ADJ!$A$1:$BZ$1000,MATCH(PAYROLL!D6,ADJ!A$1:A$500,0),MATCH(PAYROLL!EI$2,ADJ!$2:$2,0)),0)</f>
        <v>0</v>
      </c>
      <c r="EJ6">
        <f>IFERROR(INDEX(ADJ!$A$1:$BZ$1000,MATCH(PAYROLL!$D6,ADJ!A$1:A$500,0),MATCH(PAYROLL!EJ$2,ADJ!$2:$2,0)),0)</f>
        <v>0</v>
      </c>
      <c r="EK6">
        <f>SUM(DZ6:EJ6)</f>
        <v>0</v>
      </c>
      <c r="EP6">
        <f>IFERROR(INDEX(ADJ!$A$1:$BZ$1000,MATCH(PAYROLL!D6,ADJ!A$1:A$500,0),MATCH(PAYROLL!EP$2,ADJ!$2:$2,0)),0)</f>
        <v>0</v>
      </c>
    </row>
  </sheetData>
  <dataValidations count="2">
    <dataValidation operator="equal" allowBlank="1" showInputMessage="1" showErrorMessage="1" sqref="F1:EQ1" xr:uid="{00000000-0002-0000-0000-000000000000}">
      <formula1>0</formula1>
      <formula2>0</formula2>
    </dataValidation>
    <dataValidation type="list" operator="equal" allowBlank="1" showInputMessage="1" showErrorMessage="1" sqref="Q2:Q176" xr:uid="{00000000-0002-0000-0000-000001000000}">
      <formula1>#REF!</formula1>
      <formula2>0</formula2>
    </dataValidation>
  </dataValidations>
  <pageMargins left="0.78749999999999998" right="0.78749999999999998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"/>
  <sheetViews>
    <sheetView workbookViewId="0"/>
  </sheetViews>
  <sheetFormatPr defaultRowHeight="12.5"/>
  <cols>
    <col min="1" max="2" width="14" customWidth="1"/>
    <col min="3" max="3" width="16" customWidth="1"/>
    <col min="4" max="4" width="13" customWidth="1"/>
    <col min="5" max="5" width="10" customWidth="1"/>
    <col min="6" max="6" width="14" customWidth="1"/>
    <col min="7" max="7" width="15" customWidth="1"/>
    <col min="8" max="8" width="17" customWidth="1"/>
    <col min="9" max="9" width="19" customWidth="1"/>
    <col min="10" max="10" width="14" customWidth="1"/>
    <col min="11" max="11" width="12" customWidth="1"/>
    <col min="12" max="14" width="14" customWidth="1"/>
    <col min="15" max="15" width="15" customWidth="1"/>
    <col min="16" max="16" width="19" customWidth="1"/>
    <col min="17" max="17" width="20" customWidth="1"/>
    <col min="18" max="18" width="25" customWidth="1"/>
    <col min="19" max="19" width="22" customWidth="1"/>
    <col min="20" max="20" width="20" customWidth="1"/>
    <col min="21" max="21" width="11" customWidth="1"/>
    <col min="22" max="22" width="18" customWidth="1"/>
    <col min="23" max="23" width="14" customWidth="1"/>
    <col min="24" max="24" width="30" customWidth="1"/>
    <col min="25" max="25" width="12" customWidth="1"/>
    <col min="26" max="26" width="22" customWidth="1"/>
    <col min="27" max="27" width="9" customWidth="1"/>
    <col min="28" max="28" width="18" customWidth="1"/>
    <col min="29" max="29" width="13" customWidth="1"/>
    <col min="30" max="30" width="14" customWidth="1"/>
    <col min="31" max="31" width="23" customWidth="1"/>
  </cols>
  <sheetData>
    <row r="1" spans="1:31" ht="25" customHeight="1">
      <c r="A1" s="17" t="s">
        <v>279</v>
      </c>
      <c r="B1" s="17" t="s">
        <v>280</v>
      </c>
      <c r="C1" s="17" t="s">
        <v>281</v>
      </c>
      <c r="D1" s="17" t="s">
        <v>282</v>
      </c>
      <c r="E1" s="17" t="s">
        <v>283</v>
      </c>
      <c r="F1" s="17" t="s">
        <v>284</v>
      </c>
      <c r="G1" s="17" t="s">
        <v>285</v>
      </c>
      <c r="H1" s="17" t="s">
        <v>286</v>
      </c>
      <c r="I1" s="17" t="s">
        <v>287</v>
      </c>
      <c r="J1" s="17" t="s">
        <v>288</v>
      </c>
      <c r="K1" s="17" t="s">
        <v>289</v>
      </c>
      <c r="L1" s="17" t="s">
        <v>290</v>
      </c>
      <c r="M1" s="17" t="s">
        <v>291</v>
      </c>
      <c r="N1" s="17" t="s">
        <v>292</v>
      </c>
      <c r="O1" s="17" t="s">
        <v>293</v>
      </c>
      <c r="P1" s="17" t="s">
        <v>294</v>
      </c>
      <c r="Q1" s="17" t="s">
        <v>295</v>
      </c>
      <c r="R1" s="17" t="s">
        <v>296</v>
      </c>
      <c r="S1" s="17" t="s">
        <v>297</v>
      </c>
      <c r="T1" s="17" t="s">
        <v>20</v>
      </c>
      <c r="U1" s="17" t="s">
        <v>80</v>
      </c>
      <c r="V1" s="17" t="s">
        <v>298</v>
      </c>
      <c r="W1" s="17" t="s">
        <v>299</v>
      </c>
      <c r="X1" s="17" t="s">
        <v>300</v>
      </c>
      <c r="Y1" s="17" t="s">
        <v>301</v>
      </c>
      <c r="Z1" s="17" t="s">
        <v>302</v>
      </c>
      <c r="AA1" s="17" t="s">
        <v>303</v>
      </c>
      <c r="AB1" s="17" t="s">
        <v>304</v>
      </c>
      <c r="AC1" s="17" t="s">
        <v>305</v>
      </c>
      <c r="AD1" s="17" t="s">
        <v>306</v>
      </c>
      <c r="AE1" s="17" t="s">
        <v>307</v>
      </c>
    </row>
    <row r="2" spans="1:3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ht="42">
      <c r="A3" s="19" t="s">
        <v>308</v>
      </c>
      <c r="B3" s="19" t="s">
        <v>271</v>
      </c>
      <c r="C3" s="19" t="s">
        <v>272</v>
      </c>
      <c r="D3" s="19" t="s">
        <v>309</v>
      </c>
      <c r="E3" s="19" t="s">
        <v>310</v>
      </c>
      <c r="F3" s="20" t="s">
        <v>311</v>
      </c>
      <c r="G3" s="19" t="s">
        <v>312</v>
      </c>
      <c r="H3" s="20" t="s">
        <v>313</v>
      </c>
      <c r="I3" s="20"/>
      <c r="J3" s="19"/>
      <c r="K3" s="19" t="s">
        <v>314</v>
      </c>
      <c r="L3" s="19" t="s">
        <v>314</v>
      </c>
      <c r="M3" s="19"/>
      <c r="N3" s="19" t="s">
        <v>315</v>
      </c>
      <c r="O3" s="19" t="s">
        <v>316</v>
      </c>
      <c r="P3" s="19" t="s">
        <v>317</v>
      </c>
      <c r="Q3" s="19" t="s">
        <v>143</v>
      </c>
      <c r="R3" s="21">
        <v>0</v>
      </c>
      <c r="S3" s="21">
        <v>10000000</v>
      </c>
      <c r="T3" s="21">
        <v>10000000</v>
      </c>
      <c r="U3" s="21">
        <v>0</v>
      </c>
      <c r="V3" s="19" t="s">
        <v>318</v>
      </c>
      <c r="W3" s="19" t="s">
        <v>319</v>
      </c>
      <c r="X3" s="19" t="s">
        <v>320</v>
      </c>
      <c r="Y3" s="19" t="s">
        <v>321</v>
      </c>
      <c r="Z3" s="19"/>
      <c r="AA3" s="19" t="s">
        <v>322</v>
      </c>
      <c r="AB3" s="19" t="s">
        <v>323</v>
      </c>
      <c r="AC3" s="19" t="s">
        <v>324</v>
      </c>
      <c r="AD3" s="19" t="s">
        <v>325</v>
      </c>
      <c r="AE3" s="19" t="s">
        <v>326</v>
      </c>
    </row>
    <row r="4" spans="1:31" ht="42">
      <c r="A4" s="19" t="s">
        <v>327</v>
      </c>
      <c r="B4" s="19" t="s">
        <v>275</v>
      </c>
      <c r="C4" s="19" t="s">
        <v>276</v>
      </c>
      <c r="D4" s="19" t="s">
        <v>309</v>
      </c>
      <c r="E4" s="19" t="s">
        <v>310</v>
      </c>
      <c r="F4" s="20" t="s">
        <v>328</v>
      </c>
      <c r="G4" s="19" t="s">
        <v>312</v>
      </c>
      <c r="H4" s="20" t="s">
        <v>329</v>
      </c>
      <c r="I4" s="20"/>
      <c r="J4" s="19"/>
      <c r="K4" s="19" t="s">
        <v>314</v>
      </c>
      <c r="L4" s="19" t="s">
        <v>314</v>
      </c>
      <c r="M4" s="19"/>
      <c r="N4" s="19" t="s">
        <v>315</v>
      </c>
      <c r="O4" s="19" t="s">
        <v>316</v>
      </c>
      <c r="P4" s="19" t="s">
        <v>317</v>
      </c>
      <c r="Q4" s="19" t="s">
        <v>143</v>
      </c>
      <c r="R4" s="21">
        <v>0</v>
      </c>
      <c r="S4" s="21">
        <v>10000000</v>
      </c>
      <c r="T4" s="21">
        <v>10000000</v>
      </c>
      <c r="U4" s="21">
        <v>0</v>
      </c>
      <c r="V4" s="19" t="s">
        <v>330</v>
      </c>
      <c r="W4" s="19" t="s">
        <v>331</v>
      </c>
      <c r="X4" s="19" t="s">
        <v>332</v>
      </c>
      <c r="Y4" s="19" t="s">
        <v>333</v>
      </c>
      <c r="Z4" s="19"/>
      <c r="AA4" s="19" t="s">
        <v>334</v>
      </c>
      <c r="AB4" s="19" t="s">
        <v>323</v>
      </c>
      <c r="AC4" s="19" t="s">
        <v>335</v>
      </c>
      <c r="AD4" s="19" t="s">
        <v>325</v>
      </c>
      <c r="AE4" s="19" t="s">
        <v>336</v>
      </c>
    </row>
    <row r="5" spans="1:31" ht="42">
      <c r="A5" s="19" t="s">
        <v>337</v>
      </c>
      <c r="B5" s="19" t="s">
        <v>273</v>
      </c>
      <c r="C5" s="19" t="s">
        <v>274</v>
      </c>
      <c r="D5" s="19" t="s">
        <v>309</v>
      </c>
      <c r="E5" s="19" t="s">
        <v>310</v>
      </c>
      <c r="F5" s="20" t="s">
        <v>338</v>
      </c>
      <c r="G5" s="19" t="s">
        <v>312</v>
      </c>
      <c r="H5" s="20" t="s">
        <v>339</v>
      </c>
      <c r="I5" s="20"/>
      <c r="J5" s="19"/>
      <c r="K5" s="19" t="s">
        <v>314</v>
      </c>
      <c r="L5" s="19" t="s">
        <v>314</v>
      </c>
      <c r="M5" s="19"/>
      <c r="N5" s="19" t="s">
        <v>315</v>
      </c>
      <c r="O5" s="19" t="s">
        <v>316</v>
      </c>
      <c r="P5" s="19" t="s">
        <v>317</v>
      </c>
      <c r="Q5" s="19" t="s">
        <v>143</v>
      </c>
      <c r="R5" s="21">
        <v>0</v>
      </c>
      <c r="S5" s="21">
        <v>11200000</v>
      </c>
      <c r="T5" s="21">
        <v>11200000</v>
      </c>
      <c r="U5" s="21">
        <v>0</v>
      </c>
      <c r="V5" s="19" t="s">
        <v>340</v>
      </c>
      <c r="W5" s="19" t="s">
        <v>341</v>
      </c>
      <c r="X5" s="19" t="s">
        <v>342</v>
      </c>
      <c r="Y5" s="19" t="s">
        <v>343</v>
      </c>
      <c r="Z5" s="19"/>
      <c r="AA5" s="19" t="s">
        <v>344</v>
      </c>
      <c r="AB5" s="19" t="s">
        <v>323</v>
      </c>
      <c r="AC5" s="19" t="s">
        <v>345</v>
      </c>
      <c r="AD5" s="19" t="s">
        <v>325</v>
      </c>
      <c r="AE5" s="19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/>
  </sheetViews>
  <sheetFormatPr defaultRowHeight="12.5"/>
  <cols>
    <col min="1" max="1" width="50" customWidth="1"/>
    <col min="2" max="2" width="9" customWidth="1"/>
    <col min="3" max="4" width="15" customWidth="1"/>
    <col min="5" max="6" width="10" customWidth="1"/>
  </cols>
  <sheetData>
    <row r="1" spans="1:9" ht="25" customHeight="1">
      <c r="A1" s="24" t="s">
        <v>347</v>
      </c>
      <c r="B1" s="25"/>
      <c r="C1" s="25"/>
      <c r="D1" s="25"/>
      <c r="F1" s="24" t="s">
        <v>348</v>
      </c>
      <c r="G1" s="25"/>
      <c r="H1" s="25"/>
      <c r="I1" s="25"/>
    </row>
    <row r="2" spans="1:9" ht="13">
      <c r="A2" s="22" t="s">
        <v>349</v>
      </c>
      <c r="B2" s="22" t="s">
        <v>350</v>
      </c>
      <c r="C2" s="22" t="s">
        <v>351</v>
      </c>
      <c r="D2" s="22" t="s">
        <v>352</v>
      </c>
      <c r="F2" s="22" t="s">
        <v>353</v>
      </c>
      <c r="G2" s="22" t="s">
        <v>354</v>
      </c>
      <c r="H2" s="22" t="s">
        <v>355</v>
      </c>
      <c r="I2" s="22" t="s">
        <v>352</v>
      </c>
    </row>
    <row r="3" spans="1:9" ht="14">
      <c r="A3" s="19" t="s">
        <v>356</v>
      </c>
      <c r="B3" s="19" t="s">
        <v>357</v>
      </c>
      <c r="C3" s="21">
        <v>1490000</v>
      </c>
      <c r="D3" s="20" t="s">
        <v>358</v>
      </c>
    </row>
    <row r="4" spans="1:9" ht="14">
      <c r="A4" s="19" t="s">
        <v>359</v>
      </c>
      <c r="B4" s="19" t="s">
        <v>360</v>
      </c>
      <c r="C4" s="21">
        <v>0.3</v>
      </c>
      <c r="D4" s="20" t="s">
        <v>361</v>
      </c>
    </row>
    <row r="5" spans="1:9" ht="14">
      <c r="A5" s="19" t="s">
        <v>362</v>
      </c>
      <c r="B5" s="19" t="s">
        <v>363</v>
      </c>
      <c r="C5" s="21">
        <v>1</v>
      </c>
      <c r="D5" s="20" t="s">
        <v>358</v>
      </c>
    </row>
    <row r="6" spans="1:9" ht="14">
      <c r="A6" s="19" t="s">
        <v>364</v>
      </c>
      <c r="B6" s="19" t="s">
        <v>365</v>
      </c>
      <c r="C6" s="21">
        <v>2</v>
      </c>
      <c r="D6" s="20" t="s">
        <v>358</v>
      </c>
    </row>
    <row r="7" spans="1:9" ht="14">
      <c r="A7" s="19" t="s">
        <v>366</v>
      </c>
      <c r="B7" s="19" t="s">
        <v>367</v>
      </c>
      <c r="C7" s="21">
        <v>1.5</v>
      </c>
      <c r="D7" s="20" t="s">
        <v>358</v>
      </c>
    </row>
    <row r="8" spans="1:9" ht="14">
      <c r="A8" s="19" t="s">
        <v>368</v>
      </c>
      <c r="B8" s="19" t="s">
        <v>369</v>
      </c>
      <c r="C8" s="21">
        <v>2</v>
      </c>
      <c r="D8" s="20" t="s">
        <v>358</v>
      </c>
    </row>
    <row r="9" spans="1:9" ht="14">
      <c r="A9" s="19" t="s">
        <v>370</v>
      </c>
      <c r="B9" s="19" t="s">
        <v>371</v>
      </c>
      <c r="C9" s="21">
        <v>3</v>
      </c>
      <c r="D9" s="20" t="s">
        <v>358</v>
      </c>
    </row>
    <row r="10" spans="1:9" ht="14">
      <c r="A10" s="19" t="s">
        <v>372</v>
      </c>
      <c r="B10" s="19" t="s">
        <v>373</v>
      </c>
      <c r="C10" s="21">
        <v>2.1</v>
      </c>
      <c r="D10" s="20" t="s">
        <v>358</v>
      </c>
    </row>
    <row r="11" spans="1:9" ht="14">
      <c r="A11" s="19" t="s">
        <v>374</v>
      </c>
      <c r="B11" s="19" t="s">
        <v>375</v>
      </c>
      <c r="C11" s="21">
        <v>2.7</v>
      </c>
      <c r="D11" s="20" t="s">
        <v>358</v>
      </c>
    </row>
    <row r="12" spans="1:9" ht="14">
      <c r="A12" s="19" t="s">
        <v>376</v>
      </c>
      <c r="B12" s="19" t="s">
        <v>377</v>
      </c>
      <c r="C12" s="21">
        <v>3.9</v>
      </c>
      <c r="D12" s="20" t="s">
        <v>358</v>
      </c>
    </row>
    <row r="13" spans="1:9" ht="14">
      <c r="A13" s="19" t="s">
        <v>378</v>
      </c>
      <c r="B13" s="19" t="s">
        <v>379</v>
      </c>
      <c r="C13" s="21">
        <v>730000</v>
      </c>
      <c r="D13" s="20" t="s">
        <v>358</v>
      </c>
    </row>
    <row r="14" spans="1:9" ht="14">
      <c r="A14" s="19" t="s">
        <v>380</v>
      </c>
      <c r="B14" s="19" t="s">
        <v>381</v>
      </c>
      <c r="C14" s="21">
        <v>15</v>
      </c>
      <c r="D14" s="20" t="s">
        <v>361</v>
      </c>
    </row>
    <row r="15" spans="1:9" ht="14">
      <c r="A15" s="19" t="s">
        <v>382</v>
      </c>
      <c r="B15" s="19" t="s">
        <v>383</v>
      </c>
      <c r="C15" s="21">
        <v>5000000</v>
      </c>
      <c r="D15" s="20" t="s">
        <v>361</v>
      </c>
    </row>
    <row r="16" spans="1:9" ht="14">
      <c r="A16" s="19" t="s">
        <v>384</v>
      </c>
      <c r="B16" s="19" t="s">
        <v>385</v>
      </c>
      <c r="C16" s="21">
        <v>4400000</v>
      </c>
      <c r="D16" s="20" t="s">
        <v>358</v>
      </c>
    </row>
    <row r="17" spans="1:4" ht="14">
      <c r="A17" s="19" t="s">
        <v>386</v>
      </c>
      <c r="B17" s="19" t="s">
        <v>387</v>
      </c>
      <c r="C17" s="21">
        <v>11000000</v>
      </c>
      <c r="D17" s="20" t="s">
        <v>358</v>
      </c>
    </row>
    <row r="18" spans="1:4" ht="14">
      <c r="A18" s="19" t="s">
        <v>388</v>
      </c>
      <c r="B18" s="19" t="s">
        <v>389</v>
      </c>
      <c r="C18" s="21">
        <v>10</v>
      </c>
      <c r="D18" s="20" t="s">
        <v>361</v>
      </c>
    </row>
    <row r="19" spans="1:4" ht="14">
      <c r="A19" s="19" t="s">
        <v>390</v>
      </c>
      <c r="B19" s="19" t="s">
        <v>391</v>
      </c>
      <c r="C19" s="21">
        <v>20</v>
      </c>
      <c r="D19" s="20" t="s">
        <v>358</v>
      </c>
    </row>
    <row r="20" spans="1:4" ht="14">
      <c r="A20" s="19" t="s">
        <v>392</v>
      </c>
      <c r="B20" s="19" t="s">
        <v>393</v>
      </c>
      <c r="C20" s="21">
        <v>20</v>
      </c>
      <c r="D20" s="20" t="s">
        <v>358</v>
      </c>
    </row>
    <row r="21" spans="1:4" ht="14">
      <c r="A21" s="19" t="s">
        <v>394</v>
      </c>
      <c r="B21" s="19" t="s">
        <v>395</v>
      </c>
      <c r="C21" s="21">
        <v>8</v>
      </c>
      <c r="D21" s="20" t="s">
        <v>358</v>
      </c>
    </row>
    <row r="22" spans="1:4" ht="14">
      <c r="A22" s="19" t="s">
        <v>396</v>
      </c>
      <c r="B22" s="19" t="s">
        <v>397</v>
      </c>
      <c r="C22" s="21"/>
      <c r="D22" s="20" t="s">
        <v>358</v>
      </c>
    </row>
    <row r="23" spans="1:4" ht="14">
      <c r="A23" s="19" t="s">
        <v>398</v>
      </c>
      <c r="B23" s="19" t="s">
        <v>399</v>
      </c>
      <c r="C23" s="21">
        <v>0.75</v>
      </c>
      <c r="D23" s="20" t="s">
        <v>358</v>
      </c>
    </row>
    <row r="24" spans="1:4" ht="14">
      <c r="A24" s="19" t="s">
        <v>400</v>
      </c>
      <c r="B24" s="19" t="s">
        <v>401</v>
      </c>
      <c r="C24" s="21">
        <v>1.5</v>
      </c>
      <c r="D24" s="20" t="s">
        <v>358</v>
      </c>
    </row>
    <row r="25" spans="1:4" ht="14">
      <c r="A25" s="19" t="s">
        <v>402</v>
      </c>
      <c r="B25" s="19" t="s">
        <v>403</v>
      </c>
      <c r="C25" s="21">
        <v>1</v>
      </c>
      <c r="D25" s="20" t="s">
        <v>358</v>
      </c>
    </row>
    <row r="26" spans="1:4" ht="14">
      <c r="A26" s="19" t="s">
        <v>404</v>
      </c>
      <c r="B26" s="19" t="s">
        <v>405</v>
      </c>
      <c r="C26" s="21">
        <v>14</v>
      </c>
      <c r="D26" s="20" t="s">
        <v>358</v>
      </c>
    </row>
    <row r="27" spans="1:4" ht="14">
      <c r="A27" s="19" t="s">
        <v>406</v>
      </c>
      <c r="B27" s="19" t="s">
        <v>407</v>
      </c>
      <c r="C27" s="21">
        <v>3</v>
      </c>
      <c r="D27" s="20" t="s">
        <v>358</v>
      </c>
    </row>
    <row r="28" spans="1:4" ht="14">
      <c r="A28" s="19" t="s">
        <v>408</v>
      </c>
      <c r="B28" s="19" t="s">
        <v>409</v>
      </c>
      <c r="C28" s="21">
        <v>0.5</v>
      </c>
      <c r="D28" s="20" t="s">
        <v>358</v>
      </c>
    </row>
    <row r="29" spans="1:4" ht="14">
      <c r="A29" s="19" t="s">
        <v>410</v>
      </c>
      <c r="B29" s="19" t="s">
        <v>411</v>
      </c>
      <c r="C29" s="21">
        <v>3</v>
      </c>
      <c r="D29" s="20" t="s">
        <v>358</v>
      </c>
    </row>
    <row r="30" spans="1:4" ht="14">
      <c r="A30" s="19" t="s">
        <v>412</v>
      </c>
      <c r="B30" s="19" t="s">
        <v>413</v>
      </c>
      <c r="C30" s="21"/>
      <c r="D30" s="20" t="s">
        <v>358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"/>
  <sheetViews>
    <sheetView topLeftCell="L1" workbookViewId="0">
      <selection activeCell="N2" sqref="N2"/>
    </sheetView>
  </sheetViews>
  <sheetFormatPr defaultRowHeight="12.5"/>
  <cols>
    <col min="1" max="31" width="14.36328125" style="8" customWidth="1"/>
  </cols>
  <sheetData>
    <row r="1" spans="1:31" ht="43.5" customHeight="1" thickBot="1">
      <c r="A1" s="7" t="s">
        <v>281</v>
      </c>
      <c r="B1" s="7" t="s">
        <v>280</v>
      </c>
      <c r="C1" s="7" t="s">
        <v>414</v>
      </c>
      <c r="D1" s="7" t="s">
        <v>287</v>
      </c>
      <c r="E1" s="7" t="s">
        <v>288</v>
      </c>
      <c r="F1" s="7" t="s">
        <v>415</v>
      </c>
      <c r="G1" s="7" t="s">
        <v>416</v>
      </c>
      <c r="H1" s="7" t="s">
        <v>417</v>
      </c>
      <c r="I1" s="7" t="s">
        <v>418</v>
      </c>
      <c r="J1" s="7" t="s">
        <v>419</v>
      </c>
      <c r="K1" s="7" t="s">
        <v>420</v>
      </c>
      <c r="L1" s="7" t="s">
        <v>421</v>
      </c>
      <c r="M1" s="7" t="s">
        <v>422</v>
      </c>
      <c r="N1" s="7" t="s">
        <v>423</v>
      </c>
      <c r="O1" s="7" t="s">
        <v>424</v>
      </c>
      <c r="P1" s="7" t="s">
        <v>425</v>
      </c>
      <c r="Q1" s="7" t="s">
        <v>426</v>
      </c>
      <c r="R1" s="7" t="s">
        <v>427</v>
      </c>
      <c r="S1" s="7" t="s">
        <v>428</v>
      </c>
      <c r="T1" s="7" t="s">
        <v>429</v>
      </c>
      <c r="U1" s="7" t="s">
        <v>430</v>
      </c>
      <c r="V1" s="7" t="s">
        <v>431</v>
      </c>
      <c r="W1" s="7" t="s">
        <v>432</v>
      </c>
      <c r="X1" s="7" t="s">
        <v>433</v>
      </c>
      <c r="Y1" s="7" t="s">
        <v>434</v>
      </c>
      <c r="Z1" s="7" t="s">
        <v>435</v>
      </c>
      <c r="AA1" s="7" t="s">
        <v>436</v>
      </c>
      <c r="AB1" s="7" t="s">
        <v>437</v>
      </c>
      <c r="AC1" s="7" t="s">
        <v>438</v>
      </c>
      <c r="AD1" s="7" t="s">
        <v>439</v>
      </c>
      <c r="AE1" s="7" t="s">
        <v>440</v>
      </c>
    </row>
    <row r="2" spans="1:31" s="6" customFormat="1" ht="13" customHeight="1">
      <c r="F2" s="6" t="s">
        <v>441</v>
      </c>
      <c r="G2" s="6" t="s">
        <v>442</v>
      </c>
      <c r="H2" s="6" t="s">
        <v>443</v>
      </c>
      <c r="I2" s="6" t="s">
        <v>444</v>
      </c>
      <c r="J2" s="6" t="s">
        <v>445</v>
      </c>
      <c r="K2" s="6" t="s">
        <v>446</v>
      </c>
      <c r="L2" s="6" t="s">
        <v>447</v>
      </c>
      <c r="M2" s="6" t="s">
        <v>448</v>
      </c>
      <c r="N2" s="6" t="s">
        <v>449</v>
      </c>
      <c r="O2" s="6" t="s">
        <v>450</v>
      </c>
      <c r="P2" s="6" t="s">
        <v>451</v>
      </c>
      <c r="Q2" s="6" t="s">
        <v>452</v>
      </c>
      <c r="R2" s="6" t="s">
        <v>453</v>
      </c>
      <c r="S2" s="6" t="s">
        <v>454</v>
      </c>
      <c r="T2" s="6" t="s">
        <v>455</v>
      </c>
      <c r="U2" s="6" t="s">
        <v>456</v>
      </c>
      <c r="V2" s="6" t="s">
        <v>457</v>
      </c>
      <c r="W2" s="6" t="s">
        <v>458</v>
      </c>
      <c r="X2" s="6" t="s">
        <v>459</v>
      </c>
      <c r="Y2" s="6" t="s">
        <v>460</v>
      </c>
      <c r="Z2" s="6" t="s">
        <v>461</v>
      </c>
      <c r="AA2" s="6" t="s">
        <v>462</v>
      </c>
      <c r="AB2" s="6" t="s">
        <v>463</v>
      </c>
      <c r="AC2" s="6" t="s">
        <v>464</v>
      </c>
      <c r="AD2" s="6" t="s">
        <v>465</v>
      </c>
      <c r="AE2" s="6" t="s">
        <v>466</v>
      </c>
    </row>
    <row r="3" spans="1:31" ht="28">
      <c r="A3" s="19" t="s">
        <v>272</v>
      </c>
      <c r="B3" s="19" t="s">
        <v>271</v>
      </c>
      <c r="C3" s="20" t="s">
        <v>313</v>
      </c>
      <c r="D3" s="20"/>
      <c r="E3" s="19"/>
      <c r="F3" s="21">
        <v>22</v>
      </c>
      <c r="G3" s="21">
        <v>22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8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22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</row>
    <row r="4" spans="1:31" ht="28">
      <c r="A4" s="19" t="s">
        <v>274</v>
      </c>
      <c r="B4" s="19" t="s">
        <v>273</v>
      </c>
      <c r="C4" s="20" t="s">
        <v>339</v>
      </c>
      <c r="D4" s="20"/>
      <c r="E4" s="19"/>
      <c r="F4" s="21">
        <v>22</v>
      </c>
      <c r="G4" s="21">
        <v>22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8</v>
      </c>
      <c r="N4" s="21">
        <v>0</v>
      </c>
      <c r="O4" s="21">
        <v>0</v>
      </c>
      <c r="P4" s="21">
        <v>0</v>
      </c>
      <c r="Q4" s="21">
        <v>80</v>
      </c>
      <c r="R4" s="21">
        <v>0</v>
      </c>
      <c r="S4" s="21">
        <v>22</v>
      </c>
      <c r="T4" s="21">
        <v>0</v>
      </c>
      <c r="U4" s="21">
        <v>0</v>
      </c>
      <c r="V4" s="21">
        <v>0</v>
      </c>
      <c r="W4" s="21">
        <v>8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</row>
    <row r="5" spans="1:31" ht="28">
      <c r="A5" s="19" t="s">
        <v>276</v>
      </c>
      <c r="B5" s="19" t="s">
        <v>275</v>
      </c>
      <c r="C5" s="20" t="s">
        <v>329</v>
      </c>
      <c r="D5" s="20"/>
      <c r="E5" s="19"/>
      <c r="F5" s="21">
        <v>22</v>
      </c>
      <c r="G5" s="21">
        <v>21</v>
      </c>
      <c r="H5" s="21">
        <v>0</v>
      </c>
      <c r="I5" s="21">
        <v>1</v>
      </c>
      <c r="J5" s="21">
        <v>0</v>
      </c>
      <c r="K5" s="21">
        <v>0</v>
      </c>
      <c r="L5" s="21">
        <v>0</v>
      </c>
      <c r="M5" s="21">
        <v>8</v>
      </c>
      <c r="N5" s="21">
        <v>0</v>
      </c>
      <c r="O5" s="21">
        <v>0</v>
      </c>
      <c r="P5" s="21">
        <v>0</v>
      </c>
      <c r="Q5" s="21">
        <v>16</v>
      </c>
      <c r="R5" s="21">
        <v>0</v>
      </c>
      <c r="S5" s="21">
        <v>21</v>
      </c>
      <c r="T5" s="21">
        <v>0</v>
      </c>
      <c r="U5" s="21">
        <v>0</v>
      </c>
      <c r="V5" s="21">
        <v>0</v>
      </c>
      <c r="W5" s="21">
        <v>16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</row>
    <row r="6" spans="1:31" ht="14">
      <c r="A6" s="19" t="s">
        <v>278</v>
      </c>
      <c r="B6" s="19" t="s">
        <v>277</v>
      </c>
      <c r="C6" s="20" t="s">
        <v>467</v>
      </c>
      <c r="D6" s="20"/>
      <c r="E6" s="19"/>
      <c r="F6" s="21">
        <v>22</v>
      </c>
      <c r="G6" s="21">
        <v>22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8</v>
      </c>
      <c r="N6" s="21">
        <v>0</v>
      </c>
      <c r="O6" s="21">
        <v>0</v>
      </c>
      <c r="P6" s="21">
        <v>0</v>
      </c>
      <c r="Q6" s="21">
        <v>80</v>
      </c>
      <c r="R6" s="21">
        <v>0</v>
      </c>
      <c r="S6" s="21">
        <v>22</v>
      </c>
      <c r="T6" s="21">
        <v>0</v>
      </c>
      <c r="U6" s="21">
        <v>0</v>
      </c>
      <c r="V6" s="21">
        <v>3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H13" sqref="H13"/>
    </sheetView>
  </sheetViews>
  <sheetFormatPr defaultRowHeight="12.5"/>
  <cols>
    <col min="1" max="1" width="15.7265625" bestFit="1" customWidth="1"/>
    <col min="2" max="2" width="12.1796875" bestFit="1" customWidth="1"/>
    <col min="6" max="6" width="9.453125" bestFit="1" customWidth="1"/>
  </cols>
  <sheetData>
    <row r="1" spans="1:6" ht="13" customHeight="1" thickBot="1">
      <c r="A1" s="9" t="s">
        <v>468</v>
      </c>
      <c r="B1" t="s">
        <v>469</v>
      </c>
    </row>
    <row r="2" spans="1:6" ht="13" customHeight="1" thickBot="1">
      <c r="A2" s="9" t="s">
        <v>470</v>
      </c>
      <c r="B2" t="s">
        <v>471</v>
      </c>
    </row>
    <row r="3" spans="1:6" ht="13" customHeight="1" thickBot="1">
      <c r="A3" s="10"/>
      <c r="B3" s="11" t="s">
        <v>472</v>
      </c>
      <c r="C3" s="11" t="s">
        <v>350</v>
      </c>
      <c r="D3" s="11" t="s">
        <v>473</v>
      </c>
      <c r="E3" s="11" t="s">
        <v>289</v>
      </c>
      <c r="F3" s="11" t="s">
        <v>290</v>
      </c>
    </row>
    <row r="4" spans="1:6">
      <c r="A4" s="23" t="s">
        <v>474</v>
      </c>
      <c r="B4" t="s">
        <v>104</v>
      </c>
      <c r="C4" t="s">
        <v>231</v>
      </c>
      <c r="D4">
        <v>30000</v>
      </c>
    </row>
    <row r="5" spans="1:6">
      <c r="A5" s="23" t="s">
        <v>474</v>
      </c>
      <c r="B5" t="s">
        <v>105</v>
      </c>
      <c r="C5" t="s">
        <v>232</v>
      </c>
      <c r="D5">
        <v>115666.6667</v>
      </c>
    </row>
    <row r="6" spans="1:6">
      <c r="A6" s="23" t="s">
        <v>475</v>
      </c>
      <c r="B6" t="s">
        <v>90</v>
      </c>
      <c r="C6" t="s">
        <v>216</v>
      </c>
      <c r="D6">
        <v>45000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PAYROLL_COMPUTED</vt:lpstr>
      <vt:lpstr>PAYROLL</vt:lpstr>
      <vt:lpstr>PIS</vt:lpstr>
      <vt:lpstr>ADJ</vt:lpstr>
      <vt:lpstr>TSC</vt:lpstr>
      <vt:lpstr>TIMESHEET</vt:lpstr>
      <vt:lpstr>CSDA</vt:lpstr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Bui Phuoc Thien</cp:lastModifiedBy>
  <dcterms:created xsi:type="dcterms:W3CDTF">2023-12-20T05:45:24Z</dcterms:created>
  <dcterms:modified xsi:type="dcterms:W3CDTF">2023-12-20T09:19:23Z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Aeroo Reports 11.0.1.0</vt:lpwstr>
  </property>
  <property fmtid="{D5CDD505-2E9C-101B-9397-08002B2CF9AE}" pid="3" name="Software">
    <vt:lpwstr>Odoo 11.0+e-20190505</vt:lpwstr>
  </property>
  <property fmtid="{D5CDD505-2E9C-101B-9397-08002B2CF9AE}" pid="4" name="URL">
    <vt:lpwstr>https://www.odoo.com</vt:lpwstr>
  </property>
</Properties>
</file>