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Лист1!$A$1:$H$348</definedName>
  </definedNames>
  <calcPr calcId="125725"/>
</workbook>
</file>

<file path=xl/calcChain.xml><?xml version="1.0" encoding="utf-8"?>
<calcChain xmlns="http://schemas.openxmlformats.org/spreadsheetml/2006/main">
  <c r="E322" i="1"/>
  <c r="E323"/>
  <c r="E314"/>
  <c r="E325"/>
  <c r="E324"/>
  <c r="E313"/>
  <c r="E312"/>
  <c r="E311"/>
  <c r="E334"/>
  <c r="E333"/>
  <c r="E332"/>
  <c r="E331"/>
  <c r="E305"/>
  <c r="E303"/>
  <c r="E301"/>
  <c r="E299"/>
  <c r="F292" l="1"/>
  <c r="F291"/>
  <c r="F290"/>
  <c r="F289"/>
  <c r="F288"/>
  <c r="F261"/>
  <c r="F260"/>
  <c r="F259"/>
  <c r="F258"/>
  <c r="F257"/>
  <c r="F287"/>
  <c r="F286"/>
  <c r="F285"/>
  <c r="F284"/>
  <c r="F283"/>
  <c r="F256"/>
  <c r="F255"/>
  <c r="F254"/>
  <c r="F253"/>
  <c r="F252"/>
  <c r="F282"/>
  <c r="F281"/>
  <c r="F280"/>
  <c r="F279"/>
  <c r="F278"/>
  <c r="F251"/>
  <c r="F250"/>
  <c r="F249"/>
  <c r="F248"/>
  <c r="F247"/>
  <c r="F230"/>
  <c r="F229"/>
  <c r="F228"/>
  <c r="F227"/>
  <c r="F226"/>
  <c r="F225"/>
  <c r="F224"/>
  <c r="F223"/>
  <c r="F222"/>
  <c r="F221"/>
  <c r="F277"/>
  <c r="F276"/>
  <c r="F275"/>
  <c r="F274"/>
  <c r="F273"/>
  <c r="F246"/>
  <c r="F245"/>
  <c r="F244"/>
  <c r="F243"/>
  <c r="F242"/>
  <c r="F272"/>
  <c r="F271"/>
  <c r="F270"/>
  <c r="F269"/>
  <c r="F268"/>
  <c r="F241"/>
  <c r="F240"/>
  <c r="F239"/>
  <c r="F238"/>
  <c r="F237"/>
  <c r="F220"/>
  <c r="F219"/>
  <c r="F218"/>
  <c r="F217"/>
  <c r="F216"/>
  <c r="F267"/>
  <c r="F266"/>
  <c r="F265"/>
  <c r="F264"/>
  <c r="F263"/>
  <c r="F236"/>
  <c r="F235"/>
  <c r="F234"/>
  <c r="F233"/>
  <c r="F232"/>
  <c r="F215"/>
  <c r="F214"/>
  <c r="F213"/>
  <c r="F212"/>
  <c r="F211"/>
  <c r="F262"/>
  <c r="F231"/>
  <c r="F210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F151" l="1"/>
  <c r="F150"/>
  <c r="F149"/>
  <c r="F148"/>
  <c r="F147"/>
  <c r="F126"/>
  <c r="F125"/>
  <c r="F124"/>
  <c r="F123"/>
  <c r="F122"/>
  <c r="F171"/>
  <c r="F170"/>
  <c r="F169"/>
  <c r="F168"/>
  <c r="F167"/>
  <c r="F146"/>
  <c r="F145"/>
  <c r="F144"/>
  <c r="F143"/>
  <c r="F142"/>
  <c r="F121"/>
  <c r="F120"/>
  <c r="F119"/>
  <c r="F118"/>
  <c r="F117"/>
  <c r="F166"/>
  <c r="F165"/>
  <c r="F164"/>
  <c r="F163"/>
  <c r="F162"/>
  <c r="F141"/>
  <c r="F140"/>
  <c r="F139"/>
  <c r="F138"/>
  <c r="F137"/>
  <c r="F116"/>
  <c r="F115"/>
  <c r="F114"/>
  <c r="F113"/>
  <c r="F112"/>
  <c r="F161"/>
  <c r="F160"/>
  <c r="F159"/>
  <c r="F158"/>
  <c r="F157"/>
  <c r="F136"/>
  <c r="F135"/>
  <c r="F134"/>
  <c r="F133"/>
  <c r="F132"/>
  <c r="F111"/>
  <c r="F110"/>
  <c r="F109"/>
  <c r="F108"/>
  <c r="F107"/>
  <c r="F156"/>
  <c r="F155"/>
  <c r="F154"/>
  <c r="F153"/>
  <c r="F152"/>
  <c r="F131"/>
  <c r="F130"/>
  <c r="F129"/>
  <c r="F128"/>
  <c r="F12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 l="1"/>
  <c r="E28"/>
</calcChain>
</file>

<file path=xl/sharedStrings.xml><?xml version="1.0" encoding="utf-8"?>
<sst xmlns="http://schemas.openxmlformats.org/spreadsheetml/2006/main" count="85" uniqueCount="63">
  <si>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</si>
  <si>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</si>
  <si>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</si>
  <si>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</si>
  <si>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</si>
  <si>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Заказчик :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</si>
  <si>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</si>
  <si>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</si>
  <si>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</si>
  <si>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</si>
  <si>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</si>
  <si>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</si>
  <si>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5 кГц</t>
  </si>
  <si>
    <t xml:space="preserve">температура: </t>
  </si>
  <si>
    <t>°С</t>
  </si>
  <si>
    <t>влажность:</t>
  </si>
  <si>
    <t>%</t>
  </si>
  <si>
    <t>давление:</t>
  </si>
  <si>
    <t>кПа</t>
  </si>
  <si>
    <t>18-28 °С</t>
  </si>
  <si>
    <t>30-80 %</t>
  </si>
  <si>
    <t>85-105 кПа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</si>
  <si>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</si>
  <si>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</si>
  <si>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</si>
  <si>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</si>
  <si>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</si>
  <si>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</si>
  <si>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</si>
  <si>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</si>
  <si>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</si>
  <si>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</si>
  <si>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</si>
  <si>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</si>
  <si>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</si>
  <si>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</si>
  <si>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3.6.1 Определение  погрешности измерения электрического сопротивления (по 4-проводной схеме)</t>
  </si>
  <si>
    <t>3.6.2 Определение  погрешности измерения электрического сопротивления (по 2-проводной схеме)</t>
  </si>
  <si>
    <t>Поверяемая точка, МОм</t>
  </si>
  <si>
    <t>Показание прибора, МОм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</si>
  <si>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</si>
  <si>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</si>
  <si>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</si>
  <si>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</si>
  <si>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Предел, Ом</t>
  </si>
  <si>
    <t>Предел, МОм</t>
  </si>
  <si>
    <t>Калибровку провёл:</t>
  </si>
  <si>
    <t>Дата:</t>
  </si>
  <si>
    <t>(</t>
  </si>
  <si>
    <t>)</t>
  </si>
  <si>
    <r>
      <t xml:space="preserve">Эталоны: </t>
    </r>
    <r>
      <rPr>
        <u/>
        <sz val="9"/>
        <rFont val="Arial"/>
        <family val="2"/>
        <charset val="204"/>
      </rPr>
      <t>Fluke 5522A № 2581902 (3.2.ВИВ.0095.2015), 33210А № MY48016270 (3.2.ВИВ.0146.2017)</t>
    </r>
  </si>
  <si>
    <t>Зав. №:</t>
  </si>
  <si>
    <r>
      <t>Нормативная документация: РТ-</t>
    </r>
    <r>
      <rPr>
        <u/>
        <sz val="10"/>
        <rFont val="Arial"/>
        <family val="2"/>
        <charset val="204"/>
      </rPr>
      <t>МП 2831-551-2015"Мультиметры цифровые 34465А, 34470А"</t>
    </r>
  </si>
  <si>
    <t>20 Гц</t>
  </si>
  <si>
    <t>15 кГц</t>
  </si>
  <si>
    <t>30 кГц</t>
  </si>
  <si>
    <t>70 кГц</t>
  </si>
  <si>
    <t>200 кГц</t>
  </si>
  <si>
    <t>1 кГц</t>
  </si>
  <si>
    <t>1 Внешний осмотр: соответствует</t>
  </si>
  <si>
    <t>2 Опробование: соответствует</t>
  </si>
  <si>
    <t>3 Определение метрологических характеристик</t>
  </si>
  <si>
    <r>
      <t xml:space="preserve">Протокол № </t>
    </r>
    <r>
      <rPr>
        <u/>
        <sz val="10"/>
        <rFont val="Arial"/>
        <family val="2"/>
        <charset val="204"/>
      </rPr>
      <t>______</t>
    </r>
    <r>
      <rPr>
        <sz val="10"/>
        <rFont val="Arial"/>
        <family val="2"/>
        <charset val="204"/>
      </rPr>
      <t xml:space="preserve"> калибровки мультиметра цифрового</t>
    </r>
  </si>
</sst>
</file>

<file path=xl/styles.xml><?xml version="1.0" encoding="utf-8"?>
<styleSheet xmlns="http://schemas.openxmlformats.org/spreadsheetml/2006/main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0000"/>
    <numFmt numFmtId="169" formatCode="0.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name val="Arial"/>
      <family val="2"/>
      <charset val="204"/>
    </font>
    <font>
      <u/>
      <sz val="1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DAB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2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/>
    <xf numFmtId="0" fontId="6" fillId="0" borderId="0" xfId="0" applyFont="1" applyBorder="1" applyAlignment="1">
      <alignment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/>
    </xf>
    <xf numFmtId="0" fontId="4" fillId="0" borderId="1" xfId="0" applyFont="1" applyBorder="1"/>
    <xf numFmtId="3" fontId="4" fillId="0" borderId="0" xfId="0" applyNumberFormat="1" applyFont="1" applyAlignment="1">
      <alignment horizontal="left" vertical="center"/>
    </xf>
    <xf numFmtId="2" fontId="4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left" vertical="center"/>
    </xf>
    <xf numFmtId="0" fontId="4" fillId="0" borderId="5" xfId="0" applyFont="1" applyBorder="1"/>
    <xf numFmtId="0" fontId="4" fillId="0" borderId="0" xfId="0" applyFont="1" applyAlignment="1">
      <alignment horizontal="center"/>
    </xf>
    <xf numFmtId="0" fontId="8" fillId="0" borderId="0" xfId="0" applyFont="1" applyBorder="1"/>
    <xf numFmtId="0" fontId="4" fillId="0" borderId="5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9"/>
  <sheetViews>
    <sheetView tabSelected="1" view="pageBreakPreview" zoomScale="115" zoomScaleNormal="100" zoomScaleSheetLayoutView="115" workbookViewId="0">
      <selection activeCell="A5" sqref="A5:H5"/>
    </sheetView>
  </sheetViews>
  <sheetFormatPr defaultRowHeight="14.25"/>
  <cols>
    <col min="1" max="1" width="10.7109375" style="5" customWidth="1"/>
    <col min="2" max="3" width="11.7109375" style="5" customWidth="1"/>
    <col min="4" max="8" width="10.7109375" style="5" customWidth="1"/>
    <col min="9" max="9" width="9.42578125" style="5" customWidth="1"/>
    <col min="10" max="16384" width="9.140625" style="2"/>
  </cols>
  <sheetData>
    <row r="1" spans="1:9">
      <c r="A1" s="95" t="s">
        <v>0</v>
      </c>
      <c r="B1" s="95"/>
      <c r="C1" s="95"/>
      <c r="D1" s="95"/>
      <c r="E1" s="95"/>
      <c r="F1" s="95"/>
      <c r="G1" s="95"/>
      <c r="H1" s="95"/>
      <c r="I1" s="1"/>
    </row>
    <row r="2" spans="1:9">
      <c r="A2" s="95" t="s">
        <v>1</v>
      </c>
      <c r="B2" s="95"/>
      <c r="C2" s="95"/>
      <c r="D2" s="95"/>
      <c r="E2" s="95"/>
      <c r="F2" s="95"/>
      <c r="G2" s="95"/>
      <c r="H2" s="95"/>
      <c r="I2" s="1"/>
    </row>
    <row r="3" spans="1:9">
      <c r="A3" s="95" t="s">
        <v>2</v>
      </c>
      <c r="B3" s="95"/>
      <c r="C3" s="95"/>
      <c r="D3" s="95"/>
      <c r="E3" s="95"/>
      <c r="F3" s="95"/>
      <c r="G3" s="95"/>
      <c r="H3" s="95"/>
      <c r="I3" s="1"/>
    </row>
    <row r="4" spans="1:9">
      <c r="A4" s="84" t="s">
        <v>3</v>
      </c>
      <c r="B4" s="84"/>
      <c r="C4" s="84"/>
      <c r="D4" s="84"/>
      <c r="E4" s="84"/>
      <c r="F4" s="84"/>
      <c r="G4" s="84"/>
      <c r="H4" s="84"/>
      <c r="I4" s="3"/>
    </row>
    <row r="5" spans="1:9">
      <c r="A5" s="84" t="s">
        <v>4</v>
      </c>
      <c r="B5" s="84"/>
      <c r="C5" s="84"/>
      <c r="D5" s="84"/>
      <c r="E5" s="84"/>
      <c r="F5" s="84"/>
      <c r="G5" s="84"/>
      <c r="H5" s="84"/>
      <c r="I5" s="3"/>
    </row>
    <row r="7" spans="1:9">
      <c r="A7" s="71" t="s">
        <v>62</v>
      </c>
      <c r="B7" s="71"/>
      <c r="C7" s="71"/>
      <c r="D7" s="71"/>
      <c r="E7" s="71"/>
      <c r="F7" s="71"/>
      <c r="G7" s="66"/>
      <c r="H7" s="4"/>
      <c r="I7" s="4"/>
    </row>
    <row r="8" spans="1:9">
      <c r="A8" s="45"/>
      <c r="B8" s="45"/>
      <c r="C8" s="45"/>
      <c r="D8" s="45"/>
      <c r="E8" s="45"/>
      <c r="F8" s="45"/>
      <c r="G8" s="45"/>
      <c r="H8" s="45"/>
      <c r="I8" s="4"/>
    </row>
    <row r="9" spans="1:9">
      <c r="B9" s="6"/>
      <c r="H9" s="7"/>
    </row>
    <row r="10" spans="1:9">
      <c r="A10" s="5" t="s">
        <v>51</v>
      </c>
      <c r="B10" s="67"/>
      <c r="H10" s="7"/>
    </row>
    <row r="11" spans="1:9">
      <c r="A11" s="5" t="s">
        <v>5</v>
      </c>
      <c r="B11" s="68"/>
      <c r="H11" s="7"/>
    </row>
    <row r="12" spans="1:9">
      <c r="H12" s="7"/>
    </row>
    <row r="13" spans="1:9">
      <c r="A13" s="5" t="s">
        <v>52</v>
      </c>
    </row>
    <row r="14" spans="1:9" s="37" customFormat="1" ht="12">
      <c r="A14" s="36" t="s">
        <v>50</v>
      </c>
      <c r="B14" s="36"/>
      <c r="C14" s="36"/>
      <c r="D14" s="36"/>
      <c r="E14" s="36"/>
      <c r="F14" s="36"/>
      <c r="G14" s="36"/>
      <c r="H14" s="36"/>
      <c r="I14" s="36"/>
    </row>
    <row r="16" spans="1:9" ht="15" customHeight="1">
      <c r="A16" s="86" t="s">
        <v>6</v>
      </c>
      <c r="B16" s="87"/>
      <c r="C16" s="88"/>
      <c r="D16" s="96" t="s">
        <v>13</v>
      </c>
      <c r="E16" s="96"/>
      <c r="F16" s="65"/>
      <c r="G16" s="33" t="s">
        <v>14</v>
      </c>
      <c r="H16" s="69" t="s">
        <v>19</v>
      </c>
    </row>
    <row r="17" spans="1:9">
      <c r="A17" s="89"/>
      <c r="B17" s="90"/>
      <c r="C17" s="91"/>
      <c r="D17" s="96" t="s">
        <v>15</v>
      </c>
      <c r="E17" s="96"/>
      <c r="F17" s="65"/>
      <c r="G17" s="33" t="s">
        <v>16</v>
      </c>
      <c r="H17" s="70" t="s">
        <v>20</v>
      </c>
    </row>
    <row r="18" spans="1:9">
      <c r="A18" s="92"/>
      <c r="B18" s="93"/>
      <c r="C18" s="94"/>
      <c r="D18" s="96" t="s">
        <v>17</v>
      </c>
      <c r="E18" s="96"/>
      <c r="F18" s="65"/>
      <c r="G18" s="33" t="s">
        <v>18</v>
      </c>
      <c r="H18" s="70" t="s">
        <v>21</v>
      </c>
    </row>
    <row r="19" spans="1:9">
      <c r="A19" s="12"/>
      <c r="B19" s="12"/>
      <c r="C19" s="12"/>
      <c r="D19" s="12"/>
      <c r="E19" s="12"/>
      <c r="F19" s="12"/>
      <c r="G19" s="11"/>
      <c r="H19" s="11"/>
    </row>
    <row r="20" spans="1:9">
      <c r="A20" s="5" t="s">
        <v>59</v>
      </c>
    </row>
    <row r="22" spans="1:9">
      <c r="A22" s="5" t="s">
        <v>60</v>
      </c>
    </row>
    <row r="24" spans="1:9">
      <c r="A24" s="38" t="s">
        <v>61</v>
      </c>
      <c r="B24" s="38"/>
      <c r="C24" s="38"/>
      <c r="D24" s="38"/>
      <c r="E24" s="38"/>
      <c r="F24" s="38"/>
      <c r="G24" s="38"/>
      <c r="H24" s="38"/>
      <c r="I24" s="38"/>
    </row>
    <row r="25" spans="1:9">
      <c r="A25" s="4" t="s">
        <v>22</v>
      </c>
      <c r="B25" s="13"/>
      <c r="C25" s="13"/>
      <c r="D25" s="13"/>
      <c r="E25" s="13"/>
      <c r="F25" s="13"/>
      <c r="G25" s="13"/>
      <c r="H25" s="13"/>
      <c r="I25" s="13"/>
    </row>
    <row r="26" spans="1:9" ht="15" customHeight="1">
      <c r="A26" s="72" t="s">
        <v>7</v>
      </c>
      <c r="B26" s="72" t="s">
        <v>8</v>
      </c>
      <c r="C26" s="72" t="s">
        <v>9</v>
      </c>
      <c r="D26" s="72" t="s">
        <v>10</v>
      </c>
      <c r="E26" s="72" t="s">
        <v>35</v>
      </c>
      <c r="I26" s="10"/>
    </row>
    <row r="27" spans="1:9">
      <c r="A27" s="72"/>
      <c r="B27" s="72"/>
      <c r="C27" s="72"/>
      <c r="D27" s="72"/>
      <c r="E27" s="72"/>
      <c r="F27" s="9"/>
      <c r="I27" s="10"/>
    </row>
    <row r="28" spans="1:9">
      <c r="A28" s="83">
        <v>0.1</v>
      </c>
      <c r="B28" s="18">
        <v>0.01</v>
      </c>
      <c r="C28" s="15"/>
      <c r="D28" s="16"/>
      <c r="E28" s="16">
        <f>(0.000004*100)/B28</f>
        <v>3.9999999999999994E-2</v>
      </c>
      <c r="F28" s="17"/>
      <c r="I28" s="11"/>
    </row>
    <row r="29" spans="1:9">
      <c r="A29" s="83"/>
      <c r="B29" s="18">
        <v>0.03</v>
      </c>
      <c r="C29" s="15"/>
      <c r="D29" s="16"/>
      <c r="E29" s="16">
        <f>(0.000005*100)/B29</f>
        <v>1.6666666666666666E-2</v>
      </c>
      <c r="F29" s="17"/>
      <c r="I29" s="11"/>
    </row>
    <row r="30" spans="1:9">
      <c r="A30" s="83"/>
      <c r="B30" s="18">
        <v>0.05</v>
      </c>
      <c r="C30" s="15"/>
      <c r="D30" s="16"/>
      <c r="E30" s="16">
        <f>(0.000006*100)/B30</f>
        <v>1.2E-2</v>
      </c>
      <c r="F30" s="17"/>
      <c r="I30" s="11"/>
    </row>
    <row r="31" spans="1:9">
      <c r="A31" s="83"/>
      <c r="B31" s="18">
        <v>7.0000000000000007E-2</v>
      </c>
      <c r="C31" s="15"/>
      <c r="D31" s="16"/>
      <c r="E31" s="16">
        <f>(0.000007*100)/B31</f>
        <v>9.9999999999999985E-3</v>
      </c>
      <c r="F31" s="17"/>
      <c r="I31" s="11"/>
    </row>
    <row r="32" spans="1:9">
      <c r="A32" s="83"/>
      <c r="B32" s="18">
        <v>0.1</v>
      </c>
      <c r="C32" s="15"/>
      <c r="D32" s="16"/>
      <c r="E32" s="16">
        <f>(0.0000085*100)/B32</f>
        <v>8.4999999999999989E-3</v>
      </c>
      <c r="F32" s="17"/>
      <c r="I32" s="11"/>
    </row>
    <row r="33" spans="1:9">
      <c r="A33" s="83">
        <v>1</v>
      </c>
      <c r="B33" s="18">
        <v>0.1</v>
      </c>
      <c r="C33" s="19"/>
      <c r="D33" s="16"/>
      <c r="E33" s="16">
        <f>(0.0000075*100)/B33</f>
        <v>7.4999999999999997E-3</v>
      </c>
      <c r="F33" s="17"/>
      <c r="I33" s="11"/>
    </row>
    <row r="34" spans="1:9">
      <c r="A34" s="83"/>
      <c r="B34" s="18">
        <v>0.3</v>
      </c>
      <c r="C34" s="19"/>
      <c r="D34" s="16"/>
      <c r="E34" s="16">
        <f>(0.0000145*100)/B34</f>
        <v>4.8333333333333336E-3</v>
      </c>
      <c r="F34" s="17"/>
      <c r="I34" s="11"/>
    </row>
    <row r="35" spans="1:9">
      <c r="A35" s="83"/>
      <c r="B35" s="18">
        <v>0.5</v>
      </c>
      <c r="C35" s="19"/>
      <c r="D35" s="16"/>
      <c r="E35" s="16">
        <f>(0.0000215*100)/B35</f>
        <v>4.3E-3</v>
      </c>
      <c r="F35" s="17"/>
      <c r="I35" s="11"/>
    </row>
    <row r="36" spans="1:9">
      <c r="A36" s="83"/>
      <c r="B36" s="18">
        <v>0.7</v>
      </c>
      <c r="C36" s="19"/>
      <c r="D36" s="16"/>
      <c r="E36" s="16">
        <f>(0.0000285*100)/B36</f>
        <v>4.0714285714285722E-3</v>
      </c>
      <c r="F36" s="17"/>
      <c r="I36" s="11"/>
    </row>
    <row r="37" spans="1:9">
      <c r="A37" s="83"/>
      <c r="B37" s="18">
        <v>1</v>
      </c>
      <c r="C37" s="19"/>
      <c r="D37" s="16"/>
      <c r="E37" s="16">
        <f>(0.000039*100)/B37</f>
        <v>3.8999999999999998E-3</v>
      </c>
      <c r="F37" s="17"/>
      <c r="I37" s="11"/>
    </row>
    <row r="38" spans="1:9">
      <c r="A38" s="83">
        <v>10</v>
      </c>
      <c r="B38" s="18">
        <v>1</v>
      </c>
      <c r="C38" s="19"/>
      <c r="D38" s="16"/>
      <c r="E38" s="16">
        <f>(0.00007*100)/B38</f>
        <v>6.9999999999999993E-3</v>
      </c>
      <c r="F38" s="20"/>
      <c r="I38" s="21"/>
    </row>
    <row r="39" spans="1:9">
      <c r="A39" s="83"/>
      <c r="B39" s="18">
        <v>3</v>
      </c>
      <c r="C39" s="19"/>
      <c r="D39" s="16"/>
      <c r="E39" s="16">
        <f>(0.00013*100)/B39</f>
        <v>4.3333333333333331E-3</v>
      </c>
      <c r="F39" s="20"/>
      <c r="I39" s="21"/>
    </row>
    <row r="40" spans="1:9">
      <c r="A40" s="83"/>
      <c r="B40" s="18">
        <v>5</v>
      </c>
      <c r="C40" s="19"/>
      <c r="D40" s="16"/>
      <c r="E40" s="16">
        <f>(0.00019*100)/B40</f>
        <v>3.8E-3</v>
      </c>
      <c r="F40" s="20"/>
      <c r="I40" s="21"/>
    </row>
    <row r="41" spans="1:9">
      <c r="A41" s="83"/>
      <c r="B41" s="18">
        <v>7</v>
      </c>
      <c r="C41" s="19"/>
      <c r="D41" s="16"/>
      <c r="E41" s="16">
        <f>(0.00025*100)/B41</f>
        <v>3.5714285714285718E-3</v>
      </c>
      <c r="F41" s="20"/>
      <c r="I41" s="21"/>
    </row>
    <row r="42" spans="1:9">
      <c r="A42" s="83"/>
      <c r="B42" s="18">
        <v>10</v>
      </c>
      <c r="C42" s="19"/>
      <c r="D42" s="16"/>
      <c r="E42" s="16">
        <f>(0.00034*100)/B42</f>
        <v>3.4000000000000002E-3</v>
      </c>
      <c r="F42" s="20"/>
      <c r="I42" s="21"/>
    </row>
    <row r="43" spans="1:9">
      <c r="A43" s="83">
        <v>100</v>
      </c>
      <c r="B43" s="18">
        <v>10</v>
      </c>
      <c r="C43" s="19"/>
      <c r="D43" s="16"/>
      <c r="E43" s="16">
        <f>(0.001*100)/B43</f>
        <v>0.01</v>
      </c>
      <c r="F43" s="20"/>
      <c r="I43" s="21"/>
    </row>
    <row r="44" spans="1:9">
      <c r="A44" s="83"/>
      <c r="B44" s="18">
        <v>30</v>
      </c>
      <c r="C44" s="19"/>
      <c r="D44" s="16"/>
      <c r="E44" s="16">
        <f>(0.0018*100)/B44</f>
        <v>6.0000000000000001E-3</v>
      </c>
      <c r="F44" s="20"/>
      <c r="I44" s="21"/>
    </row>
    <row r="45" spans="1:9">
      <c r="A45" s="83"/>
      <c r="B45" s="18">
        <v>50</v>
      </c>
      <c r="C45" s="19"/>
      <c r="D45" s="16"/>
      <c r="E45" s="16">
        <f>(0.0026*100)/B45</f>
        <v>5.1999999999999998E-3</v>
      </c>
      <c r="F45" s="20"/>
      <c r="I45" s="21"/>
    </row>
    <row r="46" spans="1:9">
      <c r="A46" s="83"/>
      <c r="B46" s="18">
        <v>70</v>
      </c>
      <c r="C46" s="19"/>
      <c r="D46" s="16"/>
      <c r="E46" s="16">
        <f>(0.0034*100)/B46</f>
        <v>4.8571428571428567E-3</v>
      </c>
      <c r="F46" s="20"/>
      <c r="I46" s="21"/>
    </row>
    <row r="47" spans="1:9">
      <c r="A47" s="83"/>
      <c r="B47" s="18">
        <v>100</v>
      </c>
      <c r="C47" s="19"/>
      <c r="D47" s="16"/>
      <c r="E47" s="16">
        <f>(0.0046*100)/B47</f>
        <v>4.5999999999999999E-3</v>
      </c>
      <c r="F47" s="20"/>
      <c r="I47" s="21"/>
    </row>
    <row r="48" spans="1:9">
      <c r="A48" s="85">
        <v>1000</v>
      </c>
      <c r="B48" s="18">
        <v>100</v>
      </c>
      <c r="C48" s="19"/>
      <c r="D48" s="16"/>
      <c r="E48" s="16">
        <f>(0.01*100)/B48</f>
        <v>0.01</v>
      </c>
      <c r="F48" s="20"/>
      <c r="I48" s="21"/>
    </row>
    <row r="49" spans="1:9">
      <c r="A49" s="85"/>
      <c r="B49" s="18">
        <v>300</v>
      </c>
      <c r="C49" s="19"/>
      <c r="D49" s="16"/>
      <c r="E49" s="16">
        <f>(0.018*100)/B49</f>
        <v>5.9999999999999993E-3</v>
      </c>
      <c r="F49" s="20"/>
      <c r="I49" s="21"/>
    </row>
    <row r="50" spans="1:9">
      <c r="A50" s="85"/>
      <c r="B50" s="18">
        <v>500</v>
      </c>
      <c r="C50" s="19"/>
      <c r="D50" s="16"/>
      <c r="E50" s="16">
        <f>(0.026*100)/B50</f>
        <v>5.1999999999999998E-3</v>
      </c>
      <c r="F50" s="20"/>
      <c r="I50" s="21"/>
    </row>
    <row r="51" spans="1:9">
      <c r="A51" s="85"/>
      <c r="B51" s="18">
        <v>700</v>
      </c>
      <c r="C51" s="19"/>
      <c r="D51" s="16"/>
      <c r="E51" s="16">
        <f>(0.038*100)/B51</f>
        <v>5.4285714285714284E-3</v>
      </c>
      <c r="F51" s="20"/>
      <c r="I51" s="21"/>
    </row>
    <row r="52" spans="1:9">
      <c r="A52" s="85"/>
      <c r="B52" s="18">
        <v>1000</v>
      </c>
      <c r="C52" s="19"/>
      <c r="D52" s="16"/>
      <c r="E52" s="16">
        <f>(0.056*100)/B52</f>
        <v>5.6000000000000008E-3</v>
      </c>
      <c r="F52" s="20"/>
      <c r="I52" s="21"/>
    </row>
    <row r="54" spans="1:9" ht="15" customHeight="1">
      <c r="A54" s="4" t="s">
        <v>23</v>
      </c>
      <c r="B54" s="13"/>
      <c r="C54" s="13"/>
      <c r="D54" s="13"/>
      <c r="E54" s="13"/>
      <c r="F54" s="13"/>
      <c r="G54" s="13"/>
      <c r="H54" s="13"/>
    </row>
    <row r="55" spans="1:9">
      <c r="A55" s="72" t="s">
        <v>11</v>
      </c>
      <c r="B55" s="72" t="s">
        <v>7</v>
      </c>
      <c r="C55" s="72" t="s">
        <v>8</v>
      </c>
      <c r="D55" s="72" t="s">
        <v>9</v>
      </c>
      <c r="E55" s="72" t="s">
        <v>10</v>
      </c>
      <c r="F55" s="72" t="s">
        <v>35</v>
      </c>
    </row>
    <row r="56" spans="1:9">
      <c r="A56" s="72"/>
      <c r="B56" s="72"/>
      <c r="C56" s="72"/>
      <c r="D56" s="72"/>
      <c r="E56" s="72"/>
      <c r="F56" s="72"/>
    </row>
    <row r="57" spans="1:9">
      <c r="A57" s="81" t="s">
        <v>53</v>
      </c>
      <c r="B57" s="83">
        <v>0.1</v>
      </c>
      <c r="C57" s="18">
        <v>0.01</v>
      </c>
      <c r="D57" s="15"/>
      <c r="E57" s="16"/>
      <c r="F57" s="14">
        <f>(0.000025*100)/C57</f>
        <v>0.25</v>
      </c>
    </row>
    <row r="58" spans="1:9">
      <c r="A58" s="82"/>
      <c r="B58" s="83"/>
      <c r="C58" s="18">
        <v>0.03</v>
      </c>
      <c r="D58" s="15"/>
      <c r="E58" s="16"/>
      <c r="F58" s="14">
        <f>(0.000035*100)/C58</f>
        <v>0.11666666666666665</v>
      </c>
    </row>
    <row r="59" spans="1:9">
      <c r="A59" s="82"/>
      <c r="B59" s="83"/>
      <c r="C59" s="18">
        <v>0.05</v>
      </c>
      <c r="D59" s="15"/>
      <c r="E59" s="16"/>
      <c r="F59" s="14">
        <f>(0.000045*100)/C59</f>
        <v>9.0000000000000011E-2</v>
      </c>
    </row>
    <row r="60" spans="1:9">
      <c r="A60" s="82"/>
      <c r="B60" s="83"/>
      <c r="C60" s="18">
        <v>7.0000000000000007E-2</v>
      </c>
      <c r="D60" s="15"/>
      <c r="E60" s="16"/>
      <c r="F60" s="14">
        <f>(0.000055*100)/C60</f>
        <v>7.857142857142857E-2</v>
      </c>
    </row>
    <row r="61" spans="1:9">
      <c r="A61" s="82"/>
      <c r="B61" s="83"/>
      <c r="C61" s="18">
        <v>0.1</v>
      </c>
      <c r="D61" s="15"/>
      <c r="E61" s="16"/>
      <c r="F61" s="14">
        <f>(0.00007*100)/C61</f>
        <v>6.9999999999999993E-2</v>
      </c>
    </row>
    <row r="62" spans="1:9">
      <c r="A62" s="82"/>
      <c r="B62" s="83">
        <v>1</v>
      </c>
      <c r="C62" s="18">
        <v>0.1</v>
      </c>
      <c r="D62" s="19"/>
      <c r="E62" s="16"/>
      <c r="F62" s="14">
        <f>(0.00025*100)/C62</f>
        <v>0.25</v>
      </c>
    </row>
    <row r="63" spans="1:9">
      <c r="A63" s="82"/>
      <c r="B63" s="83"/>
      <c r="C63" s="18">
        <v>0.3</v>
      </c>
      <c r="D63" s="19"/>
      <c r="E63" s="16"/>
      <c r="F63" s="14">
        <f>(0.00035*100)/C63</f>
        <v>0.11666666666666665</v>
      </c>
    </row>
    <row r="64" spans="1:9">
      <c r="A64" s="82"/>
      <c r="B64" s="83"/>
      <c r="C64" s="18">
        <v>0.5</v>
      </c>
      <c r="D64" s="19"/>
      <c r="E64" s="16"/>
      <c r="F64" s="14">
        <f>(0.00045*100)/C64</f>
        <v>0.09</v>
      </c>
    </row>
    <row r="65" spans="1:6">
      <c r="A65" s="82"/>
      <c r="B65" s="83"/>
      <c r="C65" s="18">
        <v>0.7</v>
      </c>
      <c r="D65" s="19"/>
      <c r="E65" s="16"/>
      <c r="F65" s="14">
        <f>(0.00055*100)/C65</f>
        <v>7.8571428571428584E-2</v>
      </c>
    </row>
    <row r="66" spans="1:6">
      <c r="A66" s="82"/>
      <c r="B66" s="83"/>
      <c r="C66" s="18">
        <v>1</v>
      </c>
      <c r="D66" s="19"/>
      <c r="E66" s="16"/>
      <c r="F66" s="14">
        <f>(0.0007*100)/C66</f>
        <v>6.9999999999999993E-2</v>
      </c>
    </row>
    <row r="67" spans="1:6">
      <c r="A67" s="82"/>
      <c r="B67" s="83">
        <v>10</v>
      </c>
      <c r="C67" s="18">
        <v>1</v>
      </c>
      <c r="D67" s="19"/>
      <c r="E67" s="16"/>
      <c r="F67" s="14">
        <f>(0.0025*100)/C67</f>
        <v>0.25</v>
      </c>
    </row>
    <row r="68" spans="1:6">
      <c r="A68" s="82"/>
      <c r="B68" s="83"/>
      <c r="C68" s="18">
        <v>3</v>
      </c>
      <c r="D68" s="19"/>
      <c r="E68" s="16"/>
      <c r="F68" s="14">
        <f>(0.0035*100)/C68</f>
        <v>0.11666666666666668</v>
      </c>
    </row>
    <row r="69" spans="1:6">
      <c r="A69" s="82"/>
      <c r="B69" s="83"/>
      <c r="C69" s="18">
        <v>5</v>
      </c>
      <c r="D69" s="19"/>
      <c r="E69" s="16"/>
      <c r="F69" s="14">
        <f>(0.0045*100)/C69</f>
        <v>0.09</v>
      </c>
    </row>
    <row r="70" spans="1:6">
      <c r="A70" s="82"/>
      <c r="B70" s="83"/>
      <c r="C70" s="18">
        <v>7</v>
      </c>
      <c r="D70" s="19"/>
      <c r="E70" s="16"/>
      <c r="F70" s="14">
        <f>(0.0055*100)/C70</f>
        <v>7.8571428571428556E-2</v>
      </c>
    </row>
    <row r="71" spans="1:6" ht="15" customHeight="1">
      <c r="A71" s="82"/>
      <c r="B71" s="83"/>
      <c r="C71" s="18">
        <v>10</v>
      </c>
      <c r="D71" s="19"/>
      <c r="E71" s="16"/>
      <c r="F71" s="14">
        <f>(0.007*100)/C71</f>
        <v>7.0000000000000007E-2</v>
      </c>
    </row>
    <row r="72" spans="1:6">
      <c r="A72" s="82"/>
      <c r="B72" s="83">
        <v>100</v>
      </c>
      <c r="C72" s="18">
        <v>10</v>
      </c>
      <c r="D72" s="19"/>
      <c r="E72" s="16"/>
      <c r="F72" s="14">
        <f>(0.025*100)/C72</f>
        <v>0.25</v>
      </c>
    </row>
    <row r="73" spans="1:6">
      <c r="A73" s="82"/>
      <c r="B73" s="83"/>
      <c r="C73" s="18">
        <v>30</v>
      </c>
      <c r="D73" s="19"/>
      <c r="E73" s="19"/>
      <c r="F73" s="14">
        <f>(0.035*100)/C73</f>
        <v>0.11666666666666668</v>
      </c>
    </row>
    <row r="74" spans="1:6">
      <c r="A74" s="82"/>
      <c r="B74" s="83"/>
      <c r="C74" s="18">
        <v>50</v>
      </c>
      <c r="D74" s="19"/>
      <c r="E74" s="19"/>
      <c r="F74" s="14">
        <f>(0.045*100)/C74</f>
        <v>0.09</v>
      </c>
    </row>
    <row r="75" spans="1:6">
      <c r="A75" s="82"/>
      <c r="B75" s="83"/>
      <c r="C75" s="18">
        <v>70</v>
      </c>
      <c r="D75" s="19"/>
      <c r="E75" s="19"/>
      <c r="F75" s="14">
        <f>(0.055*100)/C75</f>
        <v>7.857142857142857E-2</v>
      </c>
    </row>
    <row r="76" spans="1:6">
      <c r="A76" s="82"/>
      <c r="B76" s="83"/>
      <c r="C76" s="18">
        <v>100</v>
      </c>
      <c r="D76" s="19"/>
      <c r="E76" s="19"/>
      <c r="F76" s="14">
        <f>(0.07*100)/C76</f>
        <v>7.0000000000000007E-2</v>
      </c>
    </row>
    <row r="77" spans="1:6">
      <c r="A77" s="77" t="s">
        <v>54</v>
      </c>
      <c r="B77" s="83">
        <v>0.1</v>
      </c>
      <c r="C77" s="18">
        <v>0.01</v>
      </c>
      <c r="D77" s="15"/>
      <c r="E77" s="16"/>
      <c r="F77" s="14">
        <f>(0.000025*100)/C77</f>
        <v>0.25</v>
      </c>
    </row>
    <row r="78" spans="1:6">
      <c r="A78" s="77"/>
      <c r="B78" s="83"/>
      <c r="C78" s="18">
        <v>0.03</v>
      </c>
      <c r="D78" s="15"/>
      <c r="E78" s="16"/>
      <c r="F78" s="14">
        <f>(0.000035*100)/C78</f>
        <v>0.11666666666666665</v>
      </c>
    </row>
    <row r="79" spans="1:6">
      <c r="A79" s="77"/>
      <c r="B79" s="83"/>
      <c r="C79" s="18">
        <v>0.05</v>
      </c>
      <c r="D79" s="15"/>
      <c r="E79" s="16"/>
      <c r="F79" s="14">
        <f>(0.000045*100)/C79</f>
        <v>9.0000000000000011E-2</v>
      </c>
    </row>
    <row r="80" spans="1:6">
      <c r="A80" s="77"/>
      <c r="B80" s="83"/>
      <c r="C80" s="18">
        <v>7.0000000000000007E-2</v>
      </c>
      <c r="D80" s="15"/>
      <c r="E80" s="16"/>
      <c r="F80" s="14">
        <f>(0.000055*100)/C80</f>
        <v>7.857142857142857E-2</v>
      </c>
    </row>
    <row r="81" spans="1:6">
      <c r="A81" s="77"/>
      <c r="B81" s="83"/>
      <c r="C81" s="18">
        <v>0.1</v>
      </c>
      <c r="D81" s="15"/>
      <c r="E81" s="16"/>
      <c r="F81" s="14">
        <f>(0.00007*100)/C81</f>
        <v>6.9999999999999993E-2</v>
      </c>
    </row>
    <row r="82" spans="1:6">
      <c r="A82" s="77"/>
      <c r="B82" s="83">
        <v>1</v>
      </c>
      <c r="C82" s="18">
        <v>0.1</v>
      </c>
      <c r="D82" s="19"/>
      <c r="E82" s="16"/>
      <c r="F82" s="14">
        <f>(0.00025*100)/C82</f>
        <v>0.25</v>
      </c>
    </row>
    <row r="83" spans="1:6">
      <c r="A83" s="77"/>
      <c r="B83" s="83"/>
      <c r="C83" s="18">
        <v>0.3</v>
      </c>
      <c r="D83" s="19"/>
      <c r="E83" s="16"/>
      <c r="F83" s="14">
        <f>(0.00035*100)/C83</f>
        <v>0.11666666666666665</v>
      </c>
    </row>
    <row r="84" spans="1:6">
      <c r="A84" s="77"/>
      <c r="B84" s="83"/>
      <c r="C84" s="18">
        <v>0.5</v>
      </c>
      <c r="D84" s="19"/>
      <c r="E84" s="16"/>
      <c r="F84" s="14">
        <f>(0.00045*100)/C84</f>
        <v>0.09</v>
      </c>
    </row>
    <row r="85" spans="1:6">
      <c r="A85" s="77"/>
      <c r="B85" s="83"/>
      <c r="C85" s="18">
        <v>0.7</v>
      </c>
      <c r="D85" s="19"/>
      <c r="E85" s="16"/>
      <c r="F85" s="14">
        <f>(0.00055*100)/C85</f>
        <v>7.8571428571428584E-2</v>
      </c>
    </row>
    <row r="86" spans="1:6">
      <c r="A86" s="77"/>
      <c r="B86" s="83"/>
      <c r="C86" s="18">
        <v>1</v>
      </c>
      <c r="D86" s="19"/>
      <c r="E86" s="16"/>
      <c r="F86" s="14">
        <f>(0.0007*100)/C86</f>
        <v>6.9999999999999993E-2</v>
      </c>
    </row>
    <row r="87" spans="1:6">
      <c r="A87" s="77"/>
      <c r="B87" s="83">
        <v>10</v>
      </c>
      <c r="C87" s="18">
        <v>1</v>
      </c>
      <c r="D87" s="19"/>
      <c r="E87" s="16"/>
      <c r="F87" s="14">
        <f>(0.0025*100)/C87</f>
        <v>0.25</v>
      </c>
    </row>
    <row r="88" spans="1:6">
      <c r="A88" s="77"/>
      <c r="B88" s="83"/>
      <c r="C88" s="18">
        <v>3</v>
      </c>
      <c r="D88" s="19"/>
      <c r="E88" s="16"/>
      <c r="F88" s="14">
        <f>(0.0035*100)/C88</f>
        <v>0.11666666666666668</v>
      </c>
    </row>
    <row r="89" spans="1:6">
      <c r="A89" s="77"/>
      <c r="B89" s="83"/>
      <c r="C89" s="18">
        <v>5</v>
      </c>
      <c r="D89" s="19"/>
      <c r="E89" s="16"/>
      <c r="F89" s="14">
        <f>(0.0045*100)/C89</f>
        <v>0.09</v>
      </c>
    </row>
    <row r="90" spans="1:6">
      <c r="A90" s="77"/>
      <c r="B90" s="83"/>
      <c r="C90" s="18">
        <v>7</v>
      </c>
      <c r="D90" s="19"/>
      <c r="E90" s="16"/>
      <c r="F90" s="14">
        <f>(0.0055*100)/C90</f>
        <v>7.8571428571428556E-2</v>
      </c>
    </row>
    <row r="91" spans="1:6">
      <c r="A91" s="77"/>
      <c r="B91" s="83"/>
      <c r="C91" s="18">
        <v>10</v>
      </c>
      <c r="D91" s="19"/>
      <c r="E91" s="16"/>
      <c r="F91" s="14">
        <f>(0.007*100)/C91</f>
        <v>7.0000000000000007E-2</v>
      </c>
    </row>
    <row r="92" spans="1:6">
      <c r="A92" s="77"/>
      <c r="B92" s="83">
        <v>100</v>
      </c>
      <c r="C92" s="18">
        <v>10</v>
      </c>
      <c r="D92" s="19"/>
      <c r="E92" s="16"/>
      <c r="F92" s="14">
        <f>(0.025*100)/C92</f>
        <v>0.25</v>
      </c>
    </row>
    <row r="93" spans="1:6">
      <c r="A93" s="77"/>
      <c r="B93" s="83"/>
      <c r="C93" s="18">
        <v>30</v>
      </c>
      <c r="D93" s="19"/>
      <c r="E93" s="16"/>
      <c r="F93" s="14">
        <f>(0.035*100)/C93</f>
        <v>0.11666666666666668</v>
      </c>
    </row>
    <row r="94" spans="1:6">
      <c r="A94" s="77"/>
      <c r="B94" s="83"/>
      <c r="C94" s="18">
        <v>50</v>
      </c>
      <c r="D94" s="19"/>
      <c r="E94" s="16"/>
      <c r="F94" s="14">
        <f>(0.045*100)/C94</f>
        <v>0.09</v>
      </c>
    </row>
    <row r="95" spans="1:6">
      <c r="A95" s="77"/>
      <c r="B95" s="83"/>
      <c r="C95" s="18">
        <v>70</v>
      </c>
      <c r="D95" s="19"/>
      <c r="E95" s="16"/>
      <c r="F95" s="14">
        <f>(0.055*100)/C95</f>
        <v>7.857142857142857E-2</v>
      </c>
    </row>
    <row r="96" spans="1:6">
      <c r="A96" s="77"/>
      <c r="B96" s="83"/>
      <c r="C96" s="18">
        <v>100</v>
      </c>
      <c r="D96" s="19"/>
      <c r="E96" s="16"/>
      <c r="F96" s="14">
        <f>(0.07*100)/C96</f>
        <v>7.0000000000000007E-2</v>
      </c>
    </row>
    <row r="97" spans="1:6">
      <c r="A97" s="77"/>
      <c r="B97" s="97">
        <v>750</v>
      </c>
      <c r="C97" s="50">
        <v>75</v>
      </c>
      <c r="D97" s="19"/>
      <c r="E97" s="16"/>
      <c r="F97" s="14">
        <f>(0.1875*100)/C97</f>
        <v>0.25</v>
      </c>
    </row>
    <row r="98" spans="1:6">
      <c r="A98" s="77"/>
      <c r="B98" s="97"/>
      <c r="C98" s="50">
        <v>225</v>
      </c>
      <c r="D98" s="19"/>
      <c r="E98" s="16"/>
      <c r="F98" s="14">
        <f>(0.2625*100)/C98</f>
        <v>0.11666666666666667</v>
      </c>
    </row>
    <row r="99" spans="1:6">
      <c r="A99" s="77"/>
      <c r="B99" s="97"/>
      <c r="C99" s="50">
        <v>375</v>
      </c>
      <c r="D99" s="19"/>
      <c r="E99" s="16"/>
      <c r="F99" s="14">
        <f>(0.3375*100)/C99</f>
        <v>0.09</v>
      </c>
    </row>
    <row r="100" spans="1:6">
      <c r="A100" s="77"/>
      <c r="B100" s="97"/>
      <c r="C100" s="50">
        <v>525</v>
      </c>
      <c r="D100" s="19"/>
      <c r="E100" s="16"/>
      <c r="F100" s="14">
        <f>(0.6375*100)/C100</f>
        <v>0.12142857142857141</v>
      </c>
    </row>
    <row r="101" spans="1:6">
      <c r="A101" s="77"/>
      <c r="B101" s="97"/>
      <c r="C101" s="50">
        <v>750</v>
      </c>
      <c r="D101" s="19"/>
      <c r="E101" s="16"/>
      <c r="F101" s="14">
        <f>(0.975*100)/C101</f>
        <v>0.13</v>
      </c>
    </row>
    <row r="102" spans="1:6">
      <c r="A102" s="77" t="s">
        <v>55</v>
      </c>
      <c r="B102" s="83">
        <v>0.1</v>
      </c>
      <c r="C102" s="18">
        <v>0.01</v>
      </c>
      <c r="D102" s="15"/>
      <c r="E102" s="16"/>
      <c r="F102" s="14">
        <f>(0.000037*100)/C102</f>
        <v>0.36999999999999994</v>
      </c>
    </row>
    <row r="103" spans="1:6">
      <c r="A103" s="77"/>
      <c r="B103" s="83"/>
      <c r="C103" s="18">
        <v>0.03</v>
      </c>
      <c r="D103" s="15"/>
      <c r="E103" s="16"/>
      <c r="F103" s="14">
        <f>(0.000051*100)/C103</f>
        <v>0.17</v>
      </c>
    </row>
    <row r="104" spans="1:6">
      <c r="A104" s="77"/>
      <c r="B104" s="83"/>
      <c r="C104" s="18">
        <v>0.05</v>
      </c>
      <c r="D104" s="15"/>
      <c r="E104" s="16"/>
      <c r="F104" s="14">
        <f>(0.000065*100)/C104</f>
        <v>0.12999999999999998</v>
      </c>
    </row>
    <row r="105" spans="1:6">
      <c r="A105" s="77"/>
      <c r="B105" s="83"/>
      <c r="C105" s="18">
        <v>7.0000000000000007E-2</v>
      </c>
      <c r="D105" s="15"/>
      <c r="E105" s="16"/>
      <c r="F105" s="14">
        <f>(0.000079*100)/C105</f>
        <v>0.11285714285714284</v>
      </c>
    </row>
    <row r="106" spans="1:6">
      <c r="A106" s="77"/>
      <c r="B106" s="83"/>
      <c r="C106" s="18">
        <v>0.1</v>
      </c>
      <c r="D106" s="15"/>
      <c r="E106" s="16"/>
      <c r="F106" s="14">
        <f>(0.0001*100)/C106</f>
        <v>9.9999999999999992E-2</v>
      </c>
    </row>
    <row r="107" spans="1:6">
      <c r="A107" s="77"/>
      <c r="B107" s="83">
        <v>1</v>
      </c>
      <c r="C107" s="18">
        <v>0.1</v>
      </c>
      <c r="D107" s="19"/>
      <c r="E107" s="16"/>
      <c r="F107" s="14">
        <f>(0.00037*100)/C107</f>
        <v>0.36999999999999994</v>
      </c>
    </row>
    <row r="108" spans="1:6">
      <c r="A108" s="77"/>
      <c r="B108" s="83"/>
      <c r="C108" s="18">
        <v>0.3</v>
      </c>
      <c r="D108" s="19"/>
      <c r="E108" s="16"/>
      <c r="F108" s="14">
        <f>(0.00051*100)/C108</f>
        <v>0.17</v>
      </c>
    </row>
    <row r="109" spans="1:6">
      <c r="A109" s="77"/>
      <c r="B109" s="83"/>
      <c r="C109" s="18">
        <v>0.5</v>
      </c>
      <c r="D109" s="19"/>
      <c r="E109" s="16"/>
      <c r="F109" s="14">
        <f>(0.00065*100)/C109</f>
        <v>0.13</v>
      </c>
    </row>
    <row r="110" spans="1:6">
      <c r="A110" s="77"/>
      <c r="B110" s="83"/>
      <c r="C110" s="18">
        <v>0.7</v>
      </c>
      <c r="D110" s="19"/>
      <c r="E110" s="16"/>
      <c r="F110" s="14">
        <f>(0.00079*100)/C110</f>
        <v>0.11285714285714286</v>
      </c>
    </row>
    <row r="111" spans="1:6">
      <c r="A111" s="77"/>
      <c r="B111" s="83"/>
      <c r="C111" s="18">
        <v>1</v>
      </c>
      <c r="D111" s="19"/>
      <c r="E111" s="16"/>
      <c r="F111" s="14">
        <f>(0.001*100)/C111</f>
        <v>0.1</v>
      </c>
    </row>
    <row r="112" spans="1:6">
      <c r="A112" s="77"/>
      <c r="B112" s="83">
        <v>10</v>
      </c>
      <c r="C112" s="18">
        <v>1</v>
      </c>
      <c r="D112" s="19"/>
      <c r="E112" s="16"/>
      <c r="F112" s="14">
        <f>(0.0037*100)/C112</f>
        <v>0.37</v>
      </c>
    </row>
    <row r="113" spans="1:6">
      <c r="A113" s="77"/>
      <c r="B113" s="83"/>
      <c r="C113" s="18">
        <v>3</v>
      </c>
      <c r="D113" s="19"/>
      <c r="E113" s="16"/>
      <c r="F113" s="14">
        <f>(0.0051*100)/C113</f>
        <v>0.17</v>
      </c>
    </row>
    <row r="114" spans="1:6">
      <c r="A114" s="77"/>
      <c r="B114" s="83"/>
      <c r="C114" s="18">
        <v>5</v>
      </c>
      <c r="D114" s="19"/>
      <c r="E114" s="16"/>
      <c r="F114" s="14">
        <f>(0.0065*100)/C114</f>
        <v>0.13</v>
      </c>
    </row>
    <row r="115" spans="1:6">
      <c r="A115" s="77"/>
      <c r="B115" s="83"/>
      <c r="C115" s="18">
        <v>7</v>
      </c>
      <c r="D115" s="19"/>
      <c r="E115" s="16"/>
      <c r="F115" s="14">
        <f>(0.0079*100)/C115</f>
        <v>0.11285714285714286</v>
      </c>
    </row>
    <row r="116" spans="1:6">
      <c r="A116" s="77"/>
      <c r="B116" s="83"/>
      <c r="C116" s="18">
        <v>10</v>
      </c>
      <c r="D116" s="19"/>
      <c r="E116" s="16"/>
      <c r="F116" s="14">
        <f>(0.01*100)/C116</f>
        <v>0.1</v>
      </c>
    </row>
    <row r="117" spans="1:6">
      <c r="A117" s="77"/>
      <c r="B117" s="83">
        <v>100</v>
      </c>
      <c r="C117" s="18">
        <v>10</v>
      </c>
      <c r="D117" s="19"/>
      <c r="E117" s="16"/>
      <c r="F117" s="14">
        <f>(0.037*100)/C117</f>
        <v>0.37</v>
      </c>
    </row>
    <row r="118" spans="1:6">
      <c r="A118" s="77"/>
      <c r="B118" s="83"/>
      <c r="C118" s="18">
        <v>30</v>
      </c>
      <c r="D118" s="19"/>
      <c r="E118" s="16"/>
      <c r="F118" s="14">
        <f>(0.051*100)/C118</f>
        <v>0.16999999999999998</v>
      </c>
    </row>
    <row r="119" spans="1:6">
      <c r="A119" s="77"/>
      <c r="B119" s="83"/>
      <c r="C119" s="18">
        <v>50</v>
      </c>
      <c r="D119" s="19"/>
      <c r="E119" s="16"/>
      <c r="F119" s="14">
        <f>(0.065*100)/C119</f>
        <v>0.13</v>
      </c>
    </row>
    <row r="120" spans="1:6">
      <c r="A120" s="77"/>
      <c r="B120" s="83"/>
      <c r="C120" s="18">
        <v>70</v>
      </c>
      <c r="D120" s="19"/>
      <c r="E120" s="16"/>
      <c r="F120" s="14">
        <f>(0.079*100)/C120</f>
        <v>0.11285714285714286</v>
      </c>
    </row>
    <row r="121" spans="1:6">
      <c r="A121" s="77"/>
      <c r="B121" s="83"/>
      <c r="C121" s="18">
        <v>100</v>
      </c>
      <c r="D121" s="19"/>
      <c r="E121" s="16"/>
      <c r="F121" s="14">
        <f>(0.1*100)/C121</f>
        <v>0.1</v>
      </c>
    </row>
    <row r="122" spans="1:6">
      <c r="A122" s="77"/>
      <c r="B122" s="97">
        <v>750</v>
      </c>
      <c r="C122" s="50">
        <v>75</v>
      </c>
      <c r="D122" s="19"/>
      <c r="E122" s="16"/>
      <c r="F122" s="14">
        <f>(0.2775*100)/C122</f>
        <v>0.37000000000000005</v>
      </c>
    </row>
    <row r="123" spans="1:6">
      <c r="A123" s="77"/>
      <c r="B123" s="97"/>
      <c r="C123" s="50">
        <v>225</v>
      </c>
      <c r="D123" s="19"/>
      <c r="E123" s="16"/>
      <c r="F123" s="14">
        <f>(0.3825*100)/C123</f>
        <v>0.17</v>
      </c>
    </row>
    <row r="124" spans="1:6">
      <c r="A124" s="77"/>
      <c r="B124" s="97"/>
      <c r="C124" s="50">
        <v>375</v>
      </c>
      <c r="D124" s="19"/>
      <c r="E124" s="16"/>
      <c r="F124" s="14">
        <f>(0.4875*100)/C124</f>
        <v>0.13</v>
      </c>
    </row>
    <row r="125" spans="1:6">
      <c r="A125" s="77"/>
      <c r="B125" s="97"/>
      <c r="C125" s="50">
        <v>525</v>
      </c>
      <c r="D125" s="19"/>
      <c r="E125" s="19"/>
      <c r="F125" s="14">
        <f>(0.8175*100)/C125</f>
        <v>0.15571428571428572</v>
      </c>
    </row>
    <row r="126" spans="1:6">
      <c r="A126" s="77"/>
      <c r="B126" s="97"/>
      <c r="C126" s="50">
        <v>750</v>
      </c>
      <c r="D126" s="19"/>
      <c r="E126" s="19"/>
      <c r="F126" s="14">
        <f>(1.2*100)/C126</f>
        <v>0.16</v>
      </c>
    </row>
    <row r="127" spans="1:6">
      <c r="A127" s="77" t="s">
        <v>56</v>
      </c>
      <c r="B127" s="83">
        <v>0.1</v>
      </c>
      <c r="C127" s="18">
        <v>0.01</v>
      </c>
      <c r="D127" s="15"/>
      <c r="E127" s="16"/>
      <c r="F127" s="14">
        <f>(0.000065*100)/C127</f>
        <v>0.64999999999999991</v>
      </c>
    </row>
    <row r="128" spans="1:6">
      <c r="A128" s="77"/>
      <c r="B128" s="83"/>
      <c r="C128" s="18">
        <v>0.03</v>
      </c>
      <c r="D128" s="15"/>
      <c r="E128" s="16"/>
      <c r="F128" s="14">
        <f>(0.000095*100)/C128</f>
        <v>0.31666666666666665</v>
      </c>
    </row>
    <row r="129" spans="1:6">
      <c r="A129" s="77"/>
      <c r="B129" s="83"/>
      <c r="C129" s="18">
        <v>0.05</v>
      </c>
      <c r="D129" s="15"/>
      <c r="E129" s="16"/>
      <c r="F129" s="14">
        <f>(0.000125*100)/C129</f>
        <v>0.25</v>
      </c>
    </row>
    <row r="130" spans="1:6">
      <c r="A130" s="77"/>
      <c r="B130" s="83"/>
      <c r="C130" s="18">
        <v>7.0000000000000007E-2</v>
      </c>
      <c r="D130" s="15"/>
      <c r="E130" s="16"/>
      <c r="F130" s="14">
        <f>(0.000155*100)/C130</f>
        <v>0.22142857142857142</v>
      </c>
    </row>
    <row r="131" spans="1:6">
      <c r="A131" s="77"/>
      <c r="B131" s="83"/>
      <c r="C131" s="18">
        <v>0.1</v>
      </c>
      <c r="D131" s="15"/>
      <c r="E131" s="16"/>
      <c r="F131" s="14">
        <f>(0.0002*100)/C131</f>
        <v>0.19999999999999998</v>
      </c>
    </row>
    <row r="132" spans="1:6">
      <c r="A132" s="77"/>
      <c r="B132" s="83">
        <v>1</v>
      </c>
      <c r="C132" s="18">
        <v>0.1</v>
      </c>
      <c r="D132" s="19"/>
      <c r="E132" s="16"/>
      <c r="F132" s="14">
        <f>(0.00065*100)/C132</f>
        <v>0.65</v>
      </c>
    </row>
    <row r="133" spans="1:6">
      <c r="A133" s="77"/>
      <c r="B133" s="83"/>
      <c r="C133" s="18">
        <v>0.3</v>
      </c>
      <c r="D133" s="19"/>
      <c r="E133" s="16"/>
      <c r="F133" s="14">
        <f>(0.00095*100)/C133</f>
        <v>0.31666666666666671</v>
      </c>
    </row>
    <row r="134" spans="1:6">
      <c r="A134" s="77"/>
      <c r="B134" s="83"/>
      <c r="C134" s="18">
        <v>0.5</v>
      </c>
      <c r="D134" s="19"/>
      <c r="E134" s="16"/>
      <c r="F134" s="14">
        <f>(0.00125*100)/C134</f>
        <v>0.25</v>
      </c>
    </row>
    <row r="135" spans="1:6">
      <c r="A135" s="77"/>
      <c r="B135" s="83"/>
      <c r="C135" s="18">
        <v>0.7</v>
      </c>
      <c r="D135" s="19"/>
      <c r="E135" s="16"/>
      <c r="F135" s="14">
        <f>(0.00155*100)/C135</f>
        <v>0.22142857142857145</v>
      </c>
    </row>
    <row r="136" spans="1:6">
      <c r="A136" s="77"/>
      <c r="B136" s="83"/>
      <c r="C136" s="18">
        <v>1</v>
      </c>
      <c r="D136" s="19"/>
      <c r="E136" s="16"/>
      <c r="F136" s="14">
        <f>(0.002*100)/C136</f>
        <v>0.2</v>
      </c>
    </row>
    <row r="137" spans="1:6">
      <c r="A137" s="77"/>
      <c r="B137" s="83">
        <v>10</v>
      </c>
      <c r="C137" s="18">
        <v>1</v>
      </c>
      <c r="D137" s="19"/>
      <c r="E137" s="16"/>
      <c r="F137" s="14">
        <f>(0.0065*100)/C137</f>
        <v>0.65</v>
      </c>
    </row>
    <row r="138" spans="1:6">
      <c r="A138" s="77"/>
      <c r="B138" s="83"/>
      <c r="C138" s="18">
        <v>3</v>
      </c>
      <c r="D138" s="19"/>
      <c r="E138" s="16"/>
      <c r="F138" s="14">
        <f>(0.0095*100)/C138</f>
        <v>0.31666666666666665</v>
      </c>
    </row>
    <row r="139" spans="1:6">
      <c r="A139" s="77"/>
      <c r="B139" s="83"/>
      <c r="C139" s="18">
        <v>5</v>
      </c>
      <c r="D139" s="19"/>
      <c r="E139" s="16"/>
      <c r="F139" s="14">
        <f>(0.0125*100)/C139</f>
        <v>0.25</v>
      </c>
    </row>
    <row r="140" spans="1:6">
      <c r="A140" s="77"/>
      <c r="B140" s="83"/>
      <c r="C140" s="18">
        <v>7</v>
      </c>
      <c r="D140" s="19"/>
      <c r="E140" s="16"/>
      <c r="F140" s="14">
        <f>(0.0155*100)/C140</f>
        <v>0.22142857142857145</v>
      </c>
    </row>
    <row r="141" spans="1:6">
      <c r="A141" s="77"/>
      <c r="B141" s="83"/>
      <c r="C141" s="18">
        <v>10</v>
      </c>
      <c r="D141" s="19"/>
      <c r="E141" s="16"/>
      <c r="F141" s="14">
        <f>(0.02*100)/C141</f>
        <v>0.2</v>
      </c>
    </row>
    <row r="142" spans="1:6">
      <c r="A142" s="77"/>
      <c r="B142" s="83">
        <v>100</v>
      </c>
      <c r="C142" s="18">
        <v>10</v>
      </c>
      <c r="D142" s="19"/>
      <c r="E142" s="16"/>
      <c r="F142" s="14">
        <f>(0.065*100)/C142</f>
        <v>0.65</v>
      </c>
    </row>
    <row r="143" spans="1:6">
      <c r="A143" s="77"/>
      <c r="B143" s="83"/>
      <c r="C143" s="18">
        <v>30</v>
      </c>
      <c r="D143" s="19"/>
      <c r="E143" s="16"/>
      <c r="F143" s="14">
        <f>(0.095*100)/C143</f>
        <v>0.31666666666666665</v>
      </c>
    </row>
    <row r="144" spans="1:6">
      <c r="A144" s="77"/>
      <c r="B144" s="83"/>
      <c r="C144" s="18">
        <v>50</v>
      </c>
      <c r="D144" s="19"/>
      <c r="E144" s="16"/>
      <c r="F144" s="14">
        <f>(0.125*100)/C144</f>
        <v>0.25</v>
      </c>
    </row>
    <row r="145" spans="1:6">
      <c r="A145" s="77"/>
      <c r="B145" s="83"/>
      <c r="C145" s="18">
        <v>70</v>
      </c>
      <c r="D145" s="19"/>
      <c r="E145" s="19"/>
      <c r="F145" s="14">
        <f>(0.155*100)/C145</f>
        <v>0.22142857142857142</v>
      </c>
    </row>
    <row r="146" spans="1:6">
      <c r="A146" s="77"/>
      <c r="B146" s="83"/>
      <c r="C146" s="18">
        <v>100</v>
      </c>
      <c r="D146" s="19"/>
      <c r="E146" s="19"/>
      <c r="F146" s="14">
        <f>(0.2*100)/C146</f>
        <v>0.2</v>
      </c>
    </row>
    <row r="147" spans="1:6">
      <c r="A147" s="77"/>
      <c r="B147" s="97">
        <v>750</v>
      </c>
      <c r="C147" s="50">
        <v>75</v>
      </c>
      <c r="D147" s="19"/>
      <c r="E147" s="19"/>
      <c r="F147" s="14">
        <f>(0.4875*100)/C147</f>
        <v>0.65</v>
      </c>
    </row>
    <row r="148" spans="1:6">
      <c r="A148" s="77"/>
      <c r="B148" s="97"/>
      <c r="C148" s="50">
        <v>225</v>
      </c>
      <c r="D148" s="19"/>
      <c r="E148" s="19"/>
      <c r="F148" s="14">
        <f>(0.7125*100)/C148</f>
        <v>0.31666666666666665</v>
      </c>
    </row>
    <row r="149" spans="1:6">
      <c r="A149" s="77"/>
      <c r="B149" s="97"/>
      <c r="C149" s="50">
        <v>375</v>
      </c>
      <c r="D149" s="19"/>
      <c r="E149" s="19"/>
      <c r="F149" s="14">
        <f>(0.9375*100)/C149</f>
        <v>0.25</v>
      </c>
    </row>
    <row r="150" spans="1:6">
      <c r="A150" s="77"/>
      <c r="B150" s="97"/>
      <c r="C150" s="50">
        <v>525</v>
      </c>
      <c r="D150" s="19"/>
      <c r="E150" s="19"/>
      <c r="F150" s="14">
        <f>(1.3875*100)/C150</f>
        <v>0.26428571428571429</v>
      </c>
    </row>
    <row r="151" spans="1:6">
      <c r="A151" s="77"/>
      <c r="B151" s="97"/>
      <c r="C151" s="50">
        <v>750</v>
      </c>
      <c r="D151" s="19"/>
      <c r="E151" s="19"/>
      <c r="F151" s="14">
        <f>(1.95*100)/C151</f>
        <v>0.26</v>
      </c>
    </row>
    <row r="152" spans="1:6">
      <c r="A152" s="81" t="s">
        <v>57</v>
      </c>
      <c r="B152" s="83">
        <v>0.1</v>
      </c>
      <c r="C152" s="18">
        <v>0.01</v>
      </c>
      <c r="D152" s="15"/>
      <c r="E152" s="16"/>
      <c r="F152" s="14">
        <f>(0.0002*100)/C152</f>
        <v>2</v>
      </c>
    </row>
    <row r="153" spans="1:6">
      <c r="A153" s="82"/>
      <c r="B153" s="83"/>
      <c r="C153" s="18">
        <v>0.03</v>
      </c>
      <c r="D153" s="15"/>
      <c r="E153" s="16"/>
      <c r="F153" s="14">
        <f>(0.0004*100)/C153</f>
        <v>1.3333333333333335</v>
      </c>
    </row>
    <row r="154" spans="1:6">
      <c r="A154" s="82"/>
      <c r="B154" s="83"/>
      <c r="C154" s="18">
        <v>0.05</v>
      </c>
      <c r="D154" s="15"/>
      <c r="E154" s="16"/>
      <c r="F154" s="14">
        <f>(0.0006*100)/C154</f>
        <v>1.2</v>
      </c>
    </row>
    <row r="155" spans="1:6">
      <c r="A155" s="82"/>
      <c r="B155" s="83"/>
      <c r="C155" s="18">
        <v>7.0000000000000007E-2</v>
      </c>
      <c r="D155" s="15"/>
      <c r="E155" s="16"/>
      <c r="F155" s="14">
        <f>(0.0008*100)/C155</f>
        <v>1.1428571428571428</v>
      </c>
    </row>
    <row r="156" spans="1:6">
      <c r="A156" s="82"/>
      <c r="B156" s="83"/>
      <c r="C156" s="18">
        <v>0.1</v>
      </c>
      <c r="D156" s="15"/>
      <c r="E156" s="16"/>
      <c r="F156" s="14">
        <f>(0.0011*100)/C156</f>
        <v>1.0999999999999999</v>
      </c>
    </row>
    <row r="157" spans="1:6">
      <c r="A157" s="82"/>
      <c r="B157" s="83">
        <v>1</v>
      </c>
      <c r="C157" s="18">
        <v>0.1</v>
      </c>
      <c r="D157" s="19"/>
      <c r="E157" s="16"/>
      <c r="F157" s="14">
        <f>(0.002*100)/C157</f>
        <v>2</v>
      </c>
    </row>
    <row r="158" spans="1:6">
      <c r="A158" s="82"/>
      <c r="B158" s="83"/>
      <c r="C158" s="18">
        <v>0.3</v>
      </c>
      <c r="D158" s="19"/>
      <c r="E158" s="16"/>
      <c r="F158" s="14">
        <f>(0.004*100)/C158</f>
        <v>1.3333333333333335</v>
      </c>
    </row>
    <row r="159" spans="1:6">
      <c r="A159" s="82"/>
      <c r="B159" s="83"/>
      <c r="C159" s="18">
        <v>0.5</v>
      </c>
      <c r="D159" s="19"/>
      <c r="E159" s="16"/>
      <c r="F159" s="14">
        <f>(0.006*100)/C159</f>
        <v>1.2</v>
      </c>
    </row>
    <row r="160" spans="1:6">
      <c r="A160" s="82"/>
      <c r="B160" s="83"/>
      <c r="C160" s="18">
        <v>0.7</v>
      </c>
      <c r="D160" s="19"/>
      <c r="E160" s="16"/>
      <c r="F160" s="14">
        <f>(0.008*100)/C160</f>
        <v>1.142857142857143</v>
      </c>
    </row>
    <row r="161" spans="1:6">
      <c r="A161" s="82"/>
      <c r="B161" s="83"/>
      <c r="C161" s="18">
        <v>1</v>
      </c>
      <c r="D161" s="19"/>
      <c r="E161" s="16"/>
      <c r="F161" s="14">
        <f>(0.011*100)/C161</f>
        <v>1.0999999999999999</v>
      </c>
    </row>
    <row r="162" spans="1:6">
      <c r="A162" s="82"/>
      <c r="B162" s="83">
        <v>10</v>
      </c>
      <c r="C162" s="18">
        <v>1</v>
      </c>
      <c r="D162" s="19"/>
      <c r="E162" s="16"/>
      <c r="F162" s="14">
        <f>(0.02*100)/C162</f>
        <v>2</v>
      </c>
    </row>
    <row r="163" spans="1:6">
      <c r="A163" s="82"/>
      <c r="B163" s="83"/>
      <c r="C163" s="18">
        <v>3</v>
      </c>
      <c r="D163" s="19"/>
      <c r="E163" s="16"/>
      <c r="F163" s="14">
        <f>(0.04*100)/C163</f>
        <v>1.3333333333333333</v>
      </c>
    </row>
    <row r="164" spans="1:6">
      <c r="A164" s="82"/>
      <c r="B164" s="83"/>
      <c r="C164" s="18">
        <v>5</v>
      </c>
      <c r="D164" s="19"/>
      <c r="E164" s="16"/>
      <c r="F164" s="14">
        <f>(0.06*100)/C164</f>
        <v>1.2</v>
      </c>
    </row>
    <row r="165" spans="1:6">
      <c r="A165" s="82"/>
      <c r="B165" s="83"/>
      <c r="C165" s="18">
        <v>7</v>
      </c>
      <c r="D165" s="19"/>
      <c r="E165" s="16"/>
      <c r="F165" s="14">
        <f>(0.08*100)/C165</f>
        <v>1.1428571428571428</v>
      </c>
    </row>
    <row r="166" spans="1:6">
      <c r="A166" s="82"/>
      <c r="B166" s="83"/>
      <c r="C166" s="18">
        <v>10</v>
      </c>
      <c r="D166" s="19"/>
      <c r="E166" s="16"/>
      <c r="F166" s="14">
        <f>(0.11*100)/C166</f>
        <v>1.1000000000000001</v>
      </c>
    </row>
    <row r="167" spans="1:6">
      <c r="A167" s="82"/>
      <c r="B167" s="83">
        <v>100</v>
      </c>
      <c r="C167" s="18">
        <v>10</v>
      </c>
      <c r="D167" s="19"/>
      <c r="E167" s="16"/>
      <c r="F167" s="14">
        <f>(0.2*100)/C167</f>
        <v>2</v>
      </c>
    </row>
    <row r="168" spans="1:6">
      <c r="A168" s="82"/>
      <c r="B168" s="83"/>
      <c r="C168" s="18">
        <v>30</v>
      </c>
      <c r="D168" s="19"/>
      <c r="E168" s="16"/>
      <c r="F168" s="14">
        <f>(0.4*100)/C168</f>
        <v>1.3333333333333333</v>
      </c>
    </row>
    <row r="169" spans="1:6">
      <c r="A169" s="82"/>
      <c r="B169" s="83"/>
      <c r="C169" s="18">
        <v>50</v>
      </c>
      <c r="D169" s="19"/>
      <c r="E169" s="16"/>
      <c r="F169" s="14">
        <f>(0.6*100)/C169</f>
        <v>1.2</v>
      </c>
    </row>
    <row r="170" spans="1:6">
      <c r="A170" s="82"/>
      <c r="B170" s="83"/>
      <c r="C170" s="18">
        <v>70</v>
      </c>
      <c r="D170" s="19"/>
      <c r="E170" s="19"/>
      <c r="F170" s="14">
        <f>(0.8*100)/C170</f>
        <v>1.1428571428571428</v>
      </c>
    </row>
    <row r="171" spans="1:6">
      <c r="A171" s="98"/>
      <c r="B171" s="83"/>
      <c r="C171" s="18">
        <v>100</v>
      </c>
      <c r="D171" s="19"/>
      <c r="E171" s="19"/>
      <c r="F171" s="14">
        <f>(1.1*100)/C171</f>
        <v>1.1000000000000001</v>
      </c>
    </row>
    <row r="172" spans="1:6">
      <c r="A172" s="8"/>
      <c r="B172" s="22"/>
      <c r="C172" s="23"/>
      <c r="D172" s="24"/>
      <c r="E172" s="25"/>
      <c r="F172" s="26"/>
    </row>
    <row r="173" spans="1:6">
      <c r="A173" s="27" t="s">
        <v>24</v>
      </c>
      <c r="B173" s="22"/>
      <c r="C173" s="23"/>
      <c r="D173" s="24"/>
      <c r="E173" s="25"/>
      <c r="F173" s="26"/>
    </row>
    <row r="174" spans="1:6">
      <c r="A174" s="72" t="s">
        <v>25</v>
      </c>
      <c r="B174" s="72" t="s">
        <v>26</v>
      </c>
      <c r="C174" s="72" t="s">
        <v>27</v>
      </c>
      <c r="D174" s="72" t="s">
        <v>10</v>
      </c>
      <c r="E174" s="72" t="s">
        <v>35</v>
      </c>
      <c r="F174" s="26"/>
    </row>
    <row r="175" spans="1:6">
      <c r="A175" s="72"/>
      <c r="B175" s="72"/>
      <c r="C175" s="72"/>
      <c r="D175" s="72"/>
      <c r="E175" s="72"/>
      <c r="F175" s="26"/>
    </row>
    <row r="176" spans="1:6">
      <c r="A176" s="81">
        <v>1E-3</v>
      </c>
      <c r="B176" s="28">
        <v>1E-4</v>
      </c>
      <c r="C176" s="18"/>
      <c r="D176" s="19"/>
      <c r="E176" s="14">
        <f>(0.0000001*100)/B176</f>
        <v>9.9999999999999992E-2</v>
      </c>
      <c r="F176" s="26"/>
    </row>
    <row r="177" spans="1:6">
      <c r="A177" s="82"/>
      <c r="B177" s="49">
        <v>2.9999999999999997E-4</v>
      </c>
      <c r="C177" s="18"/>
      <c r="D177" s="19"/>
      <c r="E177" s="14">
        <f>(0.0000002*100)/B177</f>
        <v>6.6666666666666666E-2</v>
      </c>
      <c r="F177" s="26"/>
    </row>
    <row r="178" spans="1:6">
      <c r="A178" s="82"/>
      <c r="B178" s="49">
        <v>5.0000000000000001E-4</v>
      </c>
      <c r="C178" s="18"/>
      <c r="D178" s="19"/>
      <c r="E178" s="14">
        <f>(0.0000003*100)/B178</f>
        <v>5.9999999999999991E-2</v>
      </c>
      <c r="F178" s="26"/>
    </row>
    <row r="179" spans="1:6">
      <c r="A179" s="82"/>
      <c r="B179" s="49">
        <v>6.9999999999999999E-4</v>
      </c>
      <c r="C179" s="18"/>
      <c r="D179" s="19"/>
      <c r="E179" s="14">
        <f>(0.0000004*100)/B179</f>
        <v>5.7142857142857141E-2</v>
      </c>
      <c r="F179" s="26"/>
    </row>
    <row r="180" spans="1:6">
      <c r="A180" s="98"/>
      <c r="B180" s="28">
        <v>1E-3</v>
      </c>
      <c r="C180" s="18"/>
      <c r="D180" s="19"/>
      <c r="E180" s="14">
        <f>(0.00000055*100)/B180</f>
        <v>5.5E-2</v>
      </c>
      <c r="F180" s="26"/>
    </row>
    <row r="181" spans="1:6">
      <c r="A181" s="81">
        <v>0.01</v>
      </c>
      <c r="B181" s="49">
        <v>1E-3</v>
      </c>
      <c r="C181" s="18"/>
      <c r="D181" s="19"/>
      <c r="E181" s="14">
        <f>(0.0000025*100)/B181</f>
        <v>0.25</v>
      </c>
      <c r="F181" s="26"/>
    </row>
    <row r="182" spans="1:6">
      <c r="A182" s="82"/>
      <c r="B182" s="49">
        <v>3.0000000000000001E-3</v>
      </c>
      <c r="C182" s="18"/>
      <c r="D182" s="19"/>
      <c r="E182" s="14">
        <f>(0.0000035*100)/B182</f>
        <v>0.11666666666666667</v>
      </c>
      <c r="F182" s="26"/>
    </row>
    <row r="183" spans="1:6">
      <c r="A183" s="82"/>
      <c r="B183" s="49">
        <v>5.0000000000000001E-3</v>
      </c>
      <c r="C183" s="18"/>
      <c r="D183" s="19"/>
      <c r="E183" s="14">
        <f>(0.0000045*100)/B183</f>
        <v>0.09</v>
      </c>
      <c r="F183" s="26"/>
    </row>
    <row r="184" spans="1:6">
      <c r="A184" s="82"/>
      <c r="B184" s="49">
        <v>7.0000000000000001E-3</v>
      </c>
      <c r="C184" s="18"/>
      <c r="D184" s="19"/>
      <c r="E184" s="14">
        <f>(0.0000055*100)/B184</f>
        <v>7.857142857142857E-2</v>
      </c>
      <c r="F184" s="26"/>
    </row>
    <row r="185" spans="1:6">
      <c r="A185" s="98"/>
      <c r="B185" s="49">
        <v>0.01</v>
      </c>
      <c r="C185" s="18"/>
      <c r="D185" s="19"/>
      <c r="E185" s="14">
        <f>(0.000007*100)/B185</f>
        <v>6.9999999999999993E-2</v>
      </c>
      <c r="F185" s="26"/>
    </row>
    <row r="186" spans="1:6">
      <c r="A186" s="81">
        <v>0.1</v>
      </c>
      <c r="B186" s="49">
        <v>0.01</v>
      </c>
      <c r="C186" s="18"/>
      <c r="D186" s="19"/>
      <c r="E186" s="14">
        <f>(0.00001*100)/B186</f>
        <v>0.1</v>
      </c>
      <c r="F186" s="26"/>
    </row>
    <row r="187" spans="1:6">
      <c r="A187" s="82"/>
      <c r="B187" s="49">
        <v>0.03</v>
      </c>
      <c r="C187" s="18"/>
      <c r="D187" s="19"/>
      <c r="E187" s="14">
        <f>(0.00002*100)/B187</f>
        <v>6.6666666666666666E-2</v>
      </c>
      <c r="F187" s="26"/>
    </row>
    <row r="188" spans="1:6">
      <c r="A188" s="82"/>
      <c r="B188" s="49">
        <v>0.05</v>
      </c>
      <c r="C188" s="18"/>
      <c r="D188" s="19"/>
      <c r="E188" s="14">
        <f>(0.00003*100)/B188</f>
        <v>0.06</v>
      </c>
      <c r="F188" s="26"/>
    </row>
    <row r="189" spans="1:6">
      <c r="A189" s="82"/>
      <c r="B189" s="49">
        <v>7.0000000000000007E-2</v>
      </c>
      <c r="C189" s="18"/>
      <c r="D189" s="19"/>
      <c r="E189" s="14">
        <f>(0.00004*100)/B189</f>
        <v>5.7142857142857141E-2</v>
      </c>
      <c r="F189" s="26"/>
    </row>
    <row r="190" spans="1:6">
      <c r="A190" s="98"/>
      <c r="B190" s="49">
        <v>0.1</v>
      </c>
      <c r="C190" s="18"/>
      <c r="D190" s="19"/>
      <c r="E190" s="14">
        <f>(0.000055*100)/B190</f>
        <v>5.5E-2</v>
      </c>
      <c r="F190" s="26"/>
    </row>
    <row r="191" spans="1:6">
      <c r="A191" s="81">
        <v>1</v>
      </c>
      <c r="B191" s="49">
        <v>0.1</v>
      </c>
      <c r="C191" s="18"/>
      <c r="D191" s="19"/>
      <c r="E191" s="14">
        <f>(0.00018*100)/B191</f>
        <v>0.18000000000000002</v>
      </c>
      <c r="F191" s="26"/>
    </row>
    <row r="192" spans="1:6">
      <c r="A192" s="82"/>
      <c r="B192" s="49">
        <v>0.3</v>
      </c>
      <c r="C192" s="18"/>
      <c r="D192" s="19"/>
      <c r="E192" s="14">
        <f>(0.00034*100)/B192</f>
        <v>0.11333333333333334</v>
      </c>
      <c r="F192" s="26"/>
    </row>
    <row r="193" spans="1:6">
      <c r="A193" s="82"/>
      <c r="B193" s="49">
        <v>0.5</v>
      </c>
      <c r="C193" s="18"/>
      <c r="D193" s="19"/>
      <c r="E193" s="14">
        <f>(0.0005*100)/B193</f>
        <v>0.1</v>
      </c>
      <c r="F193" s="26"/>
    </row>
    <row r="194" spans="1:6">
      <c r="A194" s="82"/>
      <c r="B194" s="49">
        <v>0.7</v>
      </c>
      <c r="C194" s="18"/>
      <c r="D194" s="19"/>
      <c r="E194" s="14">
        <f>(0.00066*100)/B194</f>
        <v>9.4285714285714292E-2</v>
      </c>
      <c r="F194" s="26"/>
    </row>
    <row r="195" spans="1:6">
      <c r="A195" s="98"/>
      <c r="B195" s="49">
        <v>1</v>
      </c>
      <c r="C195" s="18"/>
      <c r="D195" s="19"/>
      <c r="E195" s="14">
        <f>(0.0009*100)/B195</f>
        <v>0.09</v>
      </c>
      <c r="F195" s="26"/>
    </row>
    <row r="196" spans="1:6">
      <c r="A196" s="81">
        <v>3</v>
      </c>
      <c r="B196" s="49">
        <v>0.3</v>
      </c>
      <c r="C196" s="18"/>
      <c r="D196" s="19"/>
      <c r="E196" s="14">
        <f>(0.0012*100)/B196</f>
        <v>0.4</v>
      </c>
      <c r="F196" s="26"/>
    </row>
    <row r="197" spans="1:6">
      <c r="A197" s="82"/>
      <c r="B197" s="49">
        <v>0.9</v>
      </c>
      <c r="C197" s="18"/>
      <c r="D197" s="19"/>
      <c r="E197" s="14">
        <f>(0.0024*100)/B197</f>
        <v>0.26666666666666666</v>
      </c>
      <c r="F197" s="26"/>
    </row>
    <row r="198" spans="1:6">
      <c r="A198" s="82"/>
      <c r="B198" s="49">
        <v>1.5</v>
      </c>
      <c r="C198" s="18"/>
      <c r="D198" s="19"/>
      <c r="E198" s="14">
        <f>(0.0036*100)/B198</f>
        <v>0.24</v>
      </c>
      <c r="F198" s="26"/>
    </row>
    <row r="199" spans="1:6">
      <c r="A199" s="82"/>
      <c r="B199" s="49">
        <v>2.1</v>
      </c>
      <c r="C199" s="18"/>
      <c r="D199" s="19"/>
      <c r="E199" s="14">
        <f>(0.0048*100)/B199</f>
        <v>0.22857142857142856</v>
      </c>
      <c r="F199" s="26"/>
    </row>
    <row r="200" spans="1:6">
      <c r="A200" s="98"/>
      <c r="B200" s="49">
        <v>3</v>
      </c>
      <c r="C200" s="18"/>
      <c r="D200" s="19"/>
      <c r="E200" s="14">
        <f>(0.0066*100)/B200</f>
        <v>0.22</v>
      </c>
      <c r="F200" s="26"/>
    </row>
    <row r="201" spans="1:6">
      <c r="A201" s="77">
        <v>10</v>
      </c>
      <c r="B201" s="49">
        <v>1</v>
      </c>
      <c r="C201" s="18"/>
      <c r="D201" s="19"/>
      <c r="E201" s="14">
        <f>(0.0022*100)/B201</f>
        <v>0.22</v>
      </c>
      <c r="F201" s="26"/>
    </row>
    <row r="202" spans="1:6">
      <c r="A202" s="77"/>
      <c r="B202" s="49">
        <v>3</v>
      </c>
      <c r="C202" s="18"/>
      <c r="D202" s="19"/>
      <c r="E202" s="14">
        <f>(0.0046*100)/B202</f>
        <v>0.15333333333333332</v>
      </c>
      <c r="F202" s="26"/>
    </row>
    <row r="203" spans="1:6">
      <c r="A203" s="77"/>
      <c r="B203" s="49">
        <v>5</v>
      </c>
      <c r="C203" s="18"/>
      <c r="D203" s="19"/>
      <c r="E203" s="14">
        <f>(0.007*100)/B203</f>
        <v>0.14000000000000001</v>
      </c>
      <c r="F203" s="26"/>
    </row>
    <row r="204" spans="1:6">
      <c r="A204" s="77"/>
      <c r="B204" s="49">
        <v>7</v>
      </c>
      <c r="C204" s="18"/>
      <c r="D204" s="19"/>
      <c r="E204" s="14">
        <f>(0.0134*100)/B204</f>
        <v>0.19142857142857145</v>
      </c>
      <c r="F204" s="26"/>
    </row>
    <row r="205" spans="1:6">
      <c r="A205" s="77"/>
      <c r="B205" s="49">
        <v>10</v>
      </c>
      <c r="C205" s="18"/>
      <c r="D205" s="19"/>
      <c r="E205" s="14">
        <f>(0.023*100)/B205</f>
        <v>0.22999999999999998</v>
      </c>
      <c r="F205" s="26"/>
    </row>
    <row r="206" spans="1:6">
      <c r="A206" s="8"/>
      <c r="B206" s="8"/>
      <c r="C206" s="23"/>
      <c r="D206" s="24"/>
      <c r="E206" s="25"/>
      <c r="F206" s="26"/>
    </row>
    <row r="207" spans="1:6">
      <c r="A207" s="27" t="s">
        <v>28</v>
      </c>
      <c r="B207" s="8"/>
      <c r="C207" s="23"/>
      <c r="D207" s="24"/>
      <c r="E207" s="25"/>
      <c r="F207" s="26"/>
    </row>
    <row r="208" spans="1:6">
      <c r="A208" s="72" t="s">
        <v>11</v>
      </c>
      <c r="B208" s="72" t="s">
        <v>7</v>
      </c>
      <c r="C208" s="72" t="s">
        <v>8</v>
      </c>
      <c r="D208" s="72" t="s">
        <v>9</v>
      </c>
      <c r="E208" s="72" t="s">
        <v>10</v>
      </c>
      <c r="F208" s="72" t="s">
        <v>35</v>
      </c>
    </row>
    <row r="209" spans="1:6">
      <c r="A209" s="72"/>
      <c r="B209" s="72"/>
      <c r="C209" s="72"/>
      <c r="D209" s="72"/>
      <c r="E209" s="72"/>
      <c r="F209" s="72"/>
    </row>
    <row r="210" spans="1:6">
      <c r="A210" s="81" t="s">
        <v>53</v>
      </c>
      <c r="B210" s="51">
        <v>1E-4</v>
      </c>
      <c r="C210" s="28">
        <v>1E-4</v>
      </c>
      <c r="D210" s="29"/>
      <c r="E210" s="29"/>
      <c r="F210" s="14">
        <f>(0.00000014*100)/C210</f>
        <v>0.14000000000000001</v>
      </c>
    </row>
    <row r="211" spans="1:6">
      <c r="A211" s="82"/>
      <c r="B211" s="77">
        <v>1E-3</v>
      </c>
      <c r="C211" s="52">
        <v>1E-4</v>
      </c>
      <c r="D211" s="29"/>
      <c r="E211" s="19"/>
      <c r="F211" s="14">
        <f>(0.0000005*100)/C211</f>
        <v>0.49999999999999994</v>
      </c>
    </row>
    <row r="212" spans="1:6">
      <c r="A212" s="82"/>
      <c r="B212" s="77"/>
      <c r="C212" s="52">
        <v>2.9999999999999997E-4</v>
      </c>
      <c r="D212" s="29"/>
      <c r="E212" s="19"/>
      <c r="F212" s="14">
        <f>(0.0000007*100)/C212</f>
        <v>0.23333333333333334</v>
      </c>
    </row>
    <row r="213" spans="1:6">
      <c r="A213" s="82"/>
      <c r="B213" s="77"/>
      <c r="C213" s="52">
        <v>5.0000000000000001E-4</v>
      </c>
      <c r="D213" s="29"/>
      <c r="E213" s="19"/>
      <c r="F213" s="14">
        <f>(0.0000009*100)/C213</f>
        <v>0.18</v>
      </c>
    </row>
    <row r="214" spans="1:6">
      <c r="A214" s="82"/>
      <c r="B214" s="77"/>
      <c r="C214" s="52">
        <v>6.9999999999999999E-4</v>
      </c>
      <c r="D214" s="29"/>
      <c r="E214" s="19"/>
      <c r="F214" s="14">
        <f>(0.0000011*100)/C214</f>
        <v>0.15714285714285714</v>
      </c>
    </row>
    <row r="215" spans="1:6">
      <c r="A215" s="82"/>
      <c r="B215" s="77"/>
      <c r="C215" s="52">
        <v>1E-3</v>
      </c>
      <c r="D215" s="29"/>
      <c r="E215" s="19"/>
      <c r="F215" s="14">
        <f>(0.0000014*100)/C215</f>
        <v>0.13999999999999999</v>
      </c>
    </row>
    <row r="216" spans="1:6">
      <c r="A216" s="82"/>
      <c r="B216" s="81">
        <v>0.01</v>
      </c>
      <c r="C216" s="52">
        <v>1E-3</v>
      </c>
      <c r="D216" s="29"/>
      <c r="E216" s="19"/>
      <c r="F216" s="14">
        <f>(0.000005*100)/C216</f>
        <v>0.5</v>
      </c>
    </row>
    <row r="217" spans="1:6">
      <c r="A217" s="82"/>
      <c r="B217" s="82"/>
      <c r="C217" s="52">
        <v>3.0000000000000001E-3</v>
      </c>
      <c r="D217" s="29"/>
      <c r="E217" s="19"/>
      <c r="F217" s="14">
        <f>(0.000007*100)/C217</f>
        <v>0.23333333333333334</v>
      </c>
    </row>
    <row r="218" spans="1:6">
      <c r="A218" s="82"/>
      <c r="B218" s="82"/>
      <c r="C218" s="52">
        <v>5.0000000000000001E-3</v>
      </c>
      <c r="D218" s="29"/>
      <c r="E218" s="19"/>
      <c r="F218" s="14">
        <f>(0.000009*100)/C218</f>
        <v>0.18</v>
      </c>
    </row>
    <row r="219" spans="1:6">
      <c r="A219" s="82"/>
      <c r="B219" s="82"/>
      <c r="C219" s="52">
        <v>7.0000000000000001E-3</v>
      </c>
      <c r="D219" s="29"/>
      <c r="E219" s="19"/>
      <c r="F219" s="14">
        <f>(0.000011*100)/C219</f>
        <v>0.15714285714285714</v>
      </c>
    </row>
    <row r="220" spans="1:6">
      <c r="A220" s="82"/>
      <c r="B220" s="98"/>
      <c r="C220" s="52">
        <v>0.01</v>
      </c>
      <c r="D220" s="29"/>
      <c r="E220" s="19"/>
      <c r="F220" s="14">
        <f>(0.000014*100)/C220</f>
        <v>0.13999999999999999</v>
      </c>
    </row>
    <row r="221" spans="1:6">
      <c r="A221" s="82"/>
      <c r="B221" s="81">
        <v>0.1</v>
      </c>
      <c r="C221" s="52">
        <v>0.01</v>
      </c>
      <c r="D221" s="29"/>
      <c r="E221" s="19"/>
      <c r="F221" s="14">
        <f>(0.00005*100)/C221</f>
        <v>0.5</v>
      </c>
    </row>
    <row r="222" spans="1:6">
      <c r="A222" s="82"/>
      <c r="B222" s="82"/>
      <c r="C222" s="52">
        <v>0.03</v>
      </c>
      <c r="D222" s="29"/>
      <c r="E222" s="19"/>
      <c r="F222" s="14">
        <f>(0.00007*100)/C222</f>
        <v>0.23333333333333331</v>
      </c>
    </row>
    <row r="223" spans="1:6">
      <c r="A223" s="82"/>
      <c r="B223" s="82"/>
      <c r="C223" s="52">
        <v>0.05</v>
      </c>
      <c r="D223" s="29"/>
      <c r="E223" s="19"/>
      <c r="F223" s="14">
        <f>(0.00009*100)/C223</f>
        <v>0.18000000000000002</v>
      </c>
    </row>
    <row r="224" spans="1:6">
      <c r="A224" s="82"/>
      <c r="B224" s="82"/>
      <c r="C224" s="52">
        <v>7.0000000000000007E-2</v>
      </c>
      <c r="D224" s="29"/>
      <c r="E224" s="19"/>
      <c r="F224" s="14">
        <f>(0.00011*100)/C224</f>
        <v>0.15714285714285714</v>
      </c>
    </row>
    <row r="225" spans="1:6">
      <c r="A225" s="82"/>
      <c r="B225" s="98"/>
      <c r="C225" s="52">
        <v>0.1</v>
      </c>
      <c r="D225" s="29"/>
      <c r="E225" s="19"/>
      <c r="F225" s="14">
        <f>(0.00014*100)/C225</f>
        <v>0.13999999999999999</v>
      </c>
    </row>
    <row r="226" spans="1:6">
      <c r="A226" s="82"/>
      <c r="B226" s="81">
        <v>1</v>
      </c>
      <c r="C226" s="52">
        <v>0.1</v>
      </c>
      <c r="D226" s="18"/>
      <c r="E226" s="19"/>
      <c r="F226" s="14">
        <f>(0.0005*100)/C226</f>
        <v>0.5</v>
      </c>
    </row>
    <row r="227" spans="1:6">
      <c r="A227" s="82"/>
      <c r="B227" s="82"/>
      <c r="C227" s="52">
        <v>0.3</v>
      </c>
      <c r="D227" s="18"/>
      <c r="E227" s="19"/>
      <c r="F227" s="14">
        <f>(0.0007*100)/C227</f>
        <v>0.23333333333333331</v>
      </c>
    </row>
    <row r="228" spans="1:6">
      <c r="A228" s="82"/>
      <c r="B228" s="82"/>
      <c r="C228" s="52">
        <v>0.5</v>
      </c>
      <c r="D228" s="18"/>
      <c r="E228" s="19"/>
      <c r="F228" s="14">
        <f>(0.0009*100)/C228</f>
        <v>0.18</v>
      </c>
    </row>
    <row r="229" spans="1:6">
      <c r="A229" s="82"/>
      <c r="B229" s="82"/>
      <c r="C229" s="52">
        <v>0.7</v>
      </c>
      <c r="D229" s="18"/>
      <c r="E229" s="19"/>
      <c r="F229" s="14">
        <f>(0.0011*100)/C229</f>
        <v>0.15714285714285717</v>
      </c>
    </row>
    <row r="230" spans="1:6">
      <c r="A230" s="82"/>
      <c r="B230" s="98"/>
      <c r="C230" s="52">
        <v>1</v>
      </c>
      <c r="D230" s="18"/>
      <c r="E230" s="19"/>
      <c r="F230" s="14">
        <f>(0.0014*100)/C230</f>
        <v>0.13999999999999999</v>
      </c>
    </row>
    <row r="231" spans="1:6">
      <c r="A231" s="77" t="s">
        <v>58</v>
      </c>
      <c r="B231" s="51">
        <v>1E-4</v>
      </c>
      <c r="C231" s="28">
        <v>1E-4</v>
      </c>
      <c r="D231" s="29"/>
      <c r="E231" s="29"/>
      <c r="F231" s="14">
        <f>(0.00000014*100)/C231</f>
        <v>0.14000000000000001</v>
      </c>
    </row>
    <row r="232" spans="1:6">
      <c r="A232" s="77"/>
      <c r="B232" s="81">
        <v>1E-3</v>
      </c>
      <c r="C232" s="52">
        <v>1E-4</v>
      </c>
      <c r="D232" s="18"/>
      <c r="E232" s="19"/>
      <c r="F232" s="14">
        <f>(0.0000005*100)/C232</f>
        <v>0.49999999999999994</v>
      </c>
    </row>
    <row r="233" spans="1:6">
      <c r="A233" s="77"/>
      <c r="B233" s="82"/>
      <c r="C233" s="52">
        <v>2.9999999999999997E-4</v>
      </c>
      <c r="D233" s="18"/>
      <c r="E233" s="19"/>
      <c r="F233" s="14">
        <f>(0.0000007*100)/C233</f>
        <v>0.23333333333333334</v>
      </c>
    </row>
    <row r="234" spans="1:6">
      <c r="A234" s="77"/>
      <c r="B234" s="82"/>
      <c r="C234" s="52">
        <v>5.0000000000000001E-4</v>
      </c>
      <c r="D234" s="18"/>
      <c r="E234" s="19"/>
      <c r="F234" s="14">
        <f>(0.0000009*100)/C234</f>
        <v>0.18</v>
      </c>
    </row>
    <row r="235" spans="1:6">
      <c r="A235" s="77"/>
      <c r="B235" s="82"/>
      <c r="C235" s="52">
        <v>6.9999999999999999E-4</v>
      </c>
      <c r="D235" s="18"/>
      <c r="E235" s="19"/>
      <c r="F235" s="14">
        <f>(0.0000011*100)/C235</f>
        <v>0.15714285714285714</v>
      </c>
    </row>
    <row r="236" spans="1:6">
      <c r="A236" s="77"/>
      <c r="B236" s="98"/>
      <c r="C236" s="52">
        <v>1E-3</v>
      </c>
      <c r="D236" s="18"/>
      <c r="E236" s="19"/>
      <c r="F236" s="14">
        <f>(0.0000014*100)/C236</f>
        <v>0.13999999999999999</v>
      </c>
    </row>
    <row r="237" spans="1:6">
      <c r="A237" s="77"/>
      <c r="B237" s="81">
        <v>0.01</v>
      </c>
      <c r="C237" s="52">
        <v>1E-3</v>
      </c>
      <c r="D237" s="18"/>
      <c r="E237" s="19"/>
      <c r="F237" s="14">
        <f>(0.000005*100)/C237</f>
        <v>0.5</v>
      </c>
    </row>
    <row r="238" spans="1:6">
      <c r="A238" s="77"/>
      <c r="B238" s="82"/>
      <c r="C238" s="52">
        <v>3.0000000000000001E-3</v>
      </c>
      <c r="D238" s="18"/>
      <c r="E238" s="19"/>
      <c r="F238" s="14">
        <f>(0.000007*100)/C238</f>
        <v>0.23333333333333334</v>
      </c>
    </row>
    <row r="239" spans="1:6">
      <c r="A239" s="77"/>
      <c r="B239" s="82"/>
      <c r="C239" s="52">
        <v>5.0000000000000001E-3</v>
      </c>
      <c r="D239" s="18"/>
      <c r="E239" s="19"/>
      <c r="F239" s="14">
        <f>(0.000009*100)/C239</f>
        <v>0.18</v>
      </c>
    </row>
    <row r="240" spans="1:6">
      <c r="A240" s="77"/>
      <c r="B240" s="82"/>
      <c r="C240" s="52">
        <v>7.0000000000000001E-3</v>
      </c>
      <c r="D240" s="18"/>
      <c r="E240" s="19"/>
      <c r="F240" s="14">
        <f>(0.000011*100)/C240</f>
        <v>0.15714285714285714</v>
      </c>
    </row>
    <row r="241" spans="1:6">
      <c r="A241" s="77"/>
      <c r="B241" s="98"/>
      <c r="C241" s="52">
        <v>0.01</v>
      </c>
      <c r="D241" s="18"/>
      <c r="E241" s="19"/>
      <c r="F241" s="14">
        <f>(0.000014*100)/C241</f>
        <v>0.13999999999999999</v>
      </c>
    </row>
    <row r="242" spans="1:6">
      <c r="A242" s="77"/>
      <c r="B242" s="81">
        <v>0.1</v>
      </c>
      <c r="C242" s="52">
        <v>0.01</v>
      </c>
      <c r="D242" s="18"/>
      <c r="E242" s="19"/>
      <c r="F242" s="14">
        <f>(0.00005*100)/C242</f>
        <v>0.5</v>
      </c>
    </row>
    <row r="243" spans="1:6">
      <c r="A243" s="77"/>
      <c r="B243" s="82"/>
      <c r="C243" s="52">
        <v>0.03</v>
      </c>
      <c r="D243" s="18"/>
      <c r="E243" s="19"/>
      <c r="F243" s="14">
        <f>(0.00007*100)/C243</f>
        <v>0.23333333333333331</v>
      </c>
    </row>
    <row r="244" spans="1:6">
      <c r="A244" s="77"/>
      <c r="B244" s="82"/>
      <c r="C244" s="52">
        <v>0.05</v>
      </c>
      <c r="D244" s="18"/>
      <c r="E244" s="19"/>
      <c r="F244" s="14">
        <f>(0.00009*100)/C244</f>
        <v>0.18000000000000002</v>
      </c>
    </row>
    <row r="245" spans="1:6">
      <c r="A245" s="77"/>
      <c r="B245" s="82"/>
      <c r="C245" s="52">
        <v>7.0000000000000007E-2</v>
      </c>
      <c r="D245" s="18"/>
      <c r="E245" s="19"/>
      <c r="F245" s="14">
        <f>(0.00011*100)/C245</f>
        <v>0.15714285714285714</v>
      </c>
    </row>
    <row r="246" spans="1:6">
      <c r="A246" s="77"/>
      <c r="B246" s="98"/>
      <c r="C246" s="52">
        <v>0.1</v>
      </c>
      <c r="D246" s="18"/>
      <c r="E246" s="19"/>
      <c r="F246" s="14">
        <f>(0.00014*100)/C246</f>
        <v>0.13999999999999999</v>
      </c>
    </row>
    <row r="247" spans="1:6">
      <c r="A247" s="77"/>
      <c r="B247" s="81">
        <v>1</v>
      </c>
      <c r="C247" s="52">
        <v>0.1</v>
      </c>
      <c r="D247" s="18"/>
      <c r="E247" s="19"/>
      <c r="F247" s="14">
        <f>(0.0005*100)/C247</f>
        <v>0.5</v>
      </c>
    </row>
    <row r="248" spans="1:6">
      <c r="A248" s="77"/>
      <c r="B248" s="82"/>
      <c r="C248" s="52">
        <v>0.3</v>
      </c>
      <c r="D248" s="18"/>
      <c r="E248" s="19"/>
      <c r="F248" s="14">
        <f>(0.0007*100)/C248</f>
        <v>0.23333333333333331</v>
      </c>
    </row>
    <row r="249" spans="1:6">
      <c r="A249" s="77"/>
      <c r="B249" s="82"/>
      <c r="C249" s="52">
        <v>0.5</v>
      </c>
      <c r="D249" s="18"/>
      <c r="E249" s="19"/>
      <c r="F249" s="14">
        <f>(0.0009*100)/C249</f>
        <v>0.18</v>
      </c>
    </row>
    <row r="250" spans="1:6">
      <c r="A250" s="77"/>
      <c r="B250" s="82"/>
      <c r="C250" s="52">
        <v>0.7</v>
      </c>
      <c r="D250" s="18"/>
      <c r="E250" s="19"/>
      <c r="F250" s="14">
        <f>(0.0011*100)/C250</f>
        <v>0.15714285714285717</v>
      </c>
    </row>
    <row r="251" spans="1:6">
      <c r="A251" s="77"/>
      <c r="B251" s="98"/>
      <c r="C251" s="52">
        <v>1</v>
      </c>
      <c r="D251" s="18"/>
      <c r="E251" s="19"/>
      <c r="F251" s="14">
        <f>(0.0014*100)/C251</f>
        <v>0.13999999999999999</v>
      </c>
    </row>
    <row r="252" spans="1:6">
      <c r="A252" s="77"/>
      <c r="B252" s="81">
        <v>3</v>
      </c>
      <c r="C252" s="52">
        <v>0.3</v>
      </c>
      <c r="D252" s="18"/>
      <c r="E252" s="19"/>
      <c r="F252" s="14">
        <f>(0.00189*100)/C252</f>
        <v>0.63</v>
      </c>
    </row>
    <row r="253" spans="1:6">
      <c r="A253" s="77"/>
      <c r="B253" s="82"/>
      <c r="C253" s="52">
        <v>0.9</v>
      </c>
      <c r="D253" s="18"/>
      <c r="E253" s="19"/>
      <c r="F253" s="14">
        <f>(0.00327*100)/C253</f>
        <v>0.36333333333333334</v>
      </c>
    </row>
    <row r="254" spans="1:6">
      <c r="A254" s="77"/>
      <c r="B254" s="82"/>
      <c r="C254" s="52">
        <v>1.5</v>
      </c>
      <c r="D254" s="18"/>
      <c r="E254" s="19"/>
      <c r="F254" s="14">
        <f>(0.00465*100)/C254</f>
        <v>0.31</v>
      </c>
    </row>
    <row r="255" spans="1:6">
      <c r="A255" s="77"/>
      <c r="B255" s="82"/>
      <c r="C255" s="52">
        <v>2.1</v>
      </c>
      <c r="D255" s="18"/>
      <c r="E255" s="19"/>
      <c r="F255" s="14">
        <f>(0.00603*100)/C255</f>
        <v>0.28714285714285714</v>
      </c>
    </row>
    <row r="256" spans="1:6">
      <c r="A256" s="77"/>
      <c r="B256" s="98"/>
      <c r="C256" s="52">
        <v>3</v>
      </c>
      <c r="D256" s="18"/>
      <c r="E256" s="19"/>
      <c r="F256" s="14">
        <f>(0.0081*100)/C256</f>
        <v>0.26999999999999996</v>
      </c>
    </row>
    <row r="257" spans="1:6">
      <c r="A257" s="77"/>
      <c r="B257" s="77">
        <v>10</v>
      </c>
      <c r="C257" s="52">
        <v>1</v>
      </c>
      <c r="D257" s="18"/>
      <c r="E257" s="19"/>
      <c r="F257" s="14">
        <f>(0.005*100)/C257</f>
        <v>0.5</v>
      </c>
    </row>
    <row r="258" spans="1:6">
      <c r="A258" s="77"/>
      <c r="B258" s="77"/>
      <c r="C258" s="52">
        <v>3</v>
      </c>
      <c r="D258" s="18"/>
      <c r="E258" s="19"/>
      <c r="F258" s="14">
        <f>(0.007*100)/C258</f>
        <v>0.23333333333333336</v>
      </c>
    </row>
    <row r="259" spans="1:6">
      <c r="A259" s="77"/>
      <c r="B259" s="77"/>
      <c r="C259" s="52">
        <v>5</v>
      </c>
      <c r="D259" s="18"/>
      <c r="E259" s="19"/>
      <c r="F259" s="14">
        <f>(0.009*100)/C259</f>
        <v>0.18</v>
      </c>
    </row>
    <row r="260" spans="1:6">
      <c r="A260" s="77"/>
      <c r="B260" s="77"/>
      <c r="C260" s="52">
        <v>7</v>
      </c>
      <c r="D260" s="18"/>
      <c r="E260" s="19"/>
      <c r="F260" s="14">
        <f>(0.015*100)/C260</f>
        <v>0.21428571428571427</v>
      </c>
    </row>
    <row r="261" spans="1:6">
      <c r="A261" s="77"/>
      <c r="B261" s="77"/>
      <c r="C261" s="52">
        <v>10</v>
      </c>
      <c r="D261" s="18"/>
      <c r="E261" s="18"/>
      <c r="F261" s="14">
        <f>(0.024*100)/C261</f>
        <v>0.24</v>
      </c>
    </row>
    <row r="262" spans="1:6">
      <c r="A262" s="77" t="s">
        <v>12</v>
      </c>
      <c r="B262" s="51">
        <v>1E-4</v>
      </c>
      <c r="C262" s="28">
        <v>1E-4</v>
      </c>
      <c r="D262" s="29"/>
      <c r="E262" s="29"/>
      <c r="F262" s="14">
        <f>(0.00000014*100)/C262</f>
        <v>0.14000000000000001</v>
      </c>
    </row>
    <row r="263" spans="1:6">
      <c r="A263" s="77"/>
      <c r="B263" s="81">
        <v>1E-3</v>
      </c>
      <c r="C263" s="52">
        <v>1E-4</v>
      </c>
      <c r="D263" s="18"/>
      <c r="E263" s="19"/>
      <c r="F263" s="14">
        <f>(0.0000005*100)/C263</f>
        <v>0.49999999999999994</v>
      </c>
    </row>
    <row r="264" spans="1:6">
      <c r="A264" s="77"/>
      <c r="B264" s="82"/>
      <c r="C264" s="52">
        <v>2.9999999999999997E-4</v>
      </c>
      <c r="D264" s="18"/>
      <c r="E264" s="19"/>
      <c r="F264" s="14">
        <f>(0.0000007*100)/C264</f>
        <v>0.23333333333333334</v>
      </c>
    </row>
    <row r="265" spans="1:6">
      <c r="A265" s="77"/>
      <c r="B265" s="82"/>
      <c r="C265" s="52">
        <v>5.0000000000000001E-4</v>
      </c>
      <c r="D265" s="18"/>
      <c r="E265" s="19"/>
      <c r="F265" s="14">
        <f>(0.0000009*100)/C265</f>
        <v>0.18</v>
      </c>
    </row>
    <row r="266" spans="1:6">
      <c r="A266" s="77"/>
      <c r="B266" s="82"/>
      <c r="C266" s="52">
        <v>6.9999999999999999E-4</v>
      </c>
      <c r="D266" s="18"/>
      <c r="E266" s="19"/>
      <c r="F266" s="14">
        <f>(0.0000011*100)/C266</f>
        <v>0.15714285714285714</v>
      </c>
    </row>
    <row r="267" spans="1:6">
      <c r="A267" s="77"/>
      <c r="B267" s="98"/>
      <c r="C267" s="52">
        <v>1E-3</v>
      </c>
      <c r="D267" s="18"/>
      <c r="E267" s="19"/>
      <c r="F267" s="14">
        <f>(0.0000014*100)/C267</f>
        <v>0.13999999999999999</v>
      </c>
    </row>
    <row r="268" spans="1:6">
      <c r="A268" s="77"/>
      <c r="B268" s="81">
        <v>0.01</v>
      </c>
      <c r="C268" s="52">
        <v>1E-3</v>
      </c>
      <c r="D268" s="18"/>
      <c r="E268" s="19"/>
      <c r="F268" s="14">
        <f>(0.000005*100)/C268</f>
        <v>0.5</v>
      </c>
    </row>
    <row r="269" spans="1:6">
      <c r="A269" s="77"/>
      <c r="B269" s="82"/>
      <c r="C269" s="52">
        <v>3.0000000000000001E-3</v>
      </c>
      <c r="D269" s="18"/>
      <c r="E269" s="19"/>
      <c r="F269" s="14">
        <f>(0.000007*100)/C269</f>
        <v>0.23333333333333334</v>
      </c>
    </row>
    <row r="270" spans="1:6">
      <c r="A270" s="77"/>
      <c r="B270" s="82"/>
      <c r="C270" s="52">
        <v>5.0000000000000001E-3</v>
      </c>
      <c r="D270" s="18"/>
      <c r="E270" s="19"/>
      <c r="F270" s="14">
        <f>(0.000009*100)/C270</f>
        <v>0.18</v>
      </c>
    </row>
    <row r="271" spans="1:6">
      <c r="A271" s="77"/>
      <c r="B271" s="82"/>
      <c r="C271" s="52">
        <v>7.0000000000000001E-3</v>
      </c>
      <c r="D271" s="18"/>
      <c r="E271" s="19"/>
      <c r="F271" s="14">
        <f>(0.000011*100)/C271</f>
        <v>0.15714285714285714</v>
      </c>
    </row>
    <row r="272" spans="1:6">
      <c r="A272" s="77"/>
      <c r="B272" s="98"/>
      <c r="C272" s="52">
        <v>0.01</v>
      </c>
      <c r="D272" s="18"/>
      <c r="E272" s="19"/>
      <c r="F272" s="14">
        <f>(0.000014*100)/C272</f>
        <v>0.13999999999999999</v>
      </c>
    </row>
    <row r="273" spans="1:6">
      <c r="A273" s="77"/>
      <c r="B273" s="81">
        <v>0.1</v>
      </c>
      <c r="C273" s="52">
        <v>0.01</v>
      </c>
      <c r="D273" s="18"/>
      <c r="E273" s="19"/>
      <c r="F273" s="14">
        <f>(0.00005*100)/C273</f>
        <v>0.5</v>
      </c>
    </row>
    <row r="274" spans="1:6">
      <c r="A274" s="77"/>
      <c r="B274" s="82"/>
      <c r="C274" s="52">
        <v>0.03</v>
      </c>
      <c r="D274" s="18"/>
      <c r="E274" s="19"/>
      <c r="F274" s="14">
        <f>(0.00007*100)/C274</f>
        <v>0.23333333333333331</v>
      </c>
    </row>
    <row r="275" spans="1:6">
      <c r="A275" s="77"/>
      <c r="B275" s="82"/>
      <c r="C275" s="52">
        <v>0.05</v>
      </c>
      <c r="D275" s="18"/>
      <c r="E275" s="19"/>
      <c r="F275" s="14">
        <f>(0.00009*100)/C275</f>
        <v>0.18000000000000002</v>
      </c>
    </row>
    <row r="276" spans="1:6">
      <c r="A276" s="77"/>
      <c r="B276" s="82"/>
      <c r="C276" s="52">
        <v>7.0000000000000007E-2</v>
      </c>
      <c r="D276" s="18"/>
      <c r="E276" s="19"/>
      <c r="F276" s="14">
        <f>(0.00011*100)/C276</f>
        <v>0.15714285714285714</v>
      </c>
    </row>
    <row r="277" spans="1:6">
      <c r="A277" s="77"/>
      <c r="B277" s="98"/>
      <c r="C277" s="52">
        <v>0.1</v>
      </c>
      <c r="D277" s="18"/>
      <c r="E277" s="19"/>
      <c r="F277" s="14">
        <f>(0.00014*100)/C277</f>
        <v>0.13999999999999999</v>
      </c>
    </row>
    <row r="278" spans="1:6">
      <c r="A278" s="77"/>
      <c r="B278" s="81">
        <v>1</v>
      </c>
      <c r="C278" s="52">
        <v>0.1</v>
      </c>
      <c r="D278" s="18"/>
      <c r="E278" s="19"/>
      <c r="F278" s="14">
        <f>(0.0005*100)/C278</f>
        <v>0.5</v>
      </c>
    </row>
    <row r="279" spans="1:6">
      <c r="A279" s="77"/>
      <c r="B279" s="82"/>
      <c r="C279" s="52">
        <v>0.3</v>
      </c>
      <c r="D279" s="18"/>
      <c r="E279" s="19"/>
      <c r="F279" s="14">
        <f>(0.0007*100)/C279</f>
        <v>0.23333333333333331</v>
      </c>
    </row>
    <row r="280" spans="1:6">
      <c r="A280" s="77"/>
      <c r="B280" s="82"/>
      <c r="C280" s="52">
        <v>0.5</v>
      </c>
      <c r="D280" s="18"/>
      <c r="E280" s="19"/>
      <c r="F280" s="14">
        <f>(0.0009*100)/C280</f>
        <v>0.18</v>
      </c>
    </row>
    <row r="281" spans="1:6">
      <c r="A281" s="77"/>
      <c r="B281" s="82"/>
      <c r="C281" s="52">
        <v>0.7</v>
      </c>
      <c r="D281" s="18"/>
      <c r="E281" s="18"/>
      <c r="F281" s="14">
        <f>(0.0011*100)/C281</f>
        <v>0.15714285714285717</v>
      </c>
    </row>
    <row r="282" spans="1:6">
      <c r="A282" s="77"/>
      <c r="B282" s="98"/>
      <c r="C282" s="52">
        <v>1</v>
      </c>
      <c r="D282" s="18"/>
      <c r="E282" s="18"/>
      <c r="F282" s="14">
        <f>(0.0014*100)/C282</f>
        <v>0.13999999999999999</v>
      </c>
    </row>
    <row r="283" spans="1:6">
      <c r="A283" s="77"/>
      <c r="B283" s="81">
        <v>3</v>
      </c>
      <c r="C283" s="52">
        <v>0.3</v>
      </c>
      <c r="D283" s="18"/>
      <c r="E283" s="18"/>
      <c r="F283" s="14">
        <f>(0.00189*100)/C283</f>
        <v>0.63</v>
      </c>
    </row>
    <row r="284" spans="1:6">
      <c r="A284" s="77"/>
      <c r="B284" s="82"/>
      <c r="C284" s="52">
        <v>0.9</v>
      </c>
      <c r="D284" s="18"/>
      <c r="E284" s="18"/>
      <c r="F284" s="14">
        <f>(0.00327*100)/C284</f>
        <v>0.36333333333333334</v>
      </c>
    </row>
    <row r="285" spans="1:6">
      <c r="A285" s="77"/>
      <c r="B285" s="82"/>
      <c r="C285" s="52">
        <v>1.5</v>
      </c>
      <c r="D285" s="18"/>
      <c r="E285" s="18"/>
      <c r="F285" s="14">
        <f>(0.00465*100)/C285</f>
        <v>0.31</v>
      </c>
    </row>
    <row r="286" spans="1:6">
      <c r="A286" s="77"/>
      <c r="B286" s="82"/>
      <c r="C286" s="52">
        <v>2.1</v>
      </c>
      <c r="D286" s="18"/>
      <c r="E286" s="18"/>
      <c r="F286" s="14">
        <f>(0.00603*100)/C286</f>
        <v>0.28714285714285714</v>
      </c>
    </row>
    <row r="287" spans="1:6">
      <c r="A287" s="77"/>
      <c r="B287" s="98"/>
      <c r="C287" s="52">
        <v>3</v>
      </c>
      <c r="D287" s="18"/>
      <c r="E287" s="18"/>
      <c r="F287" s="14">
        <f>(0.0081*100)/C287</f>
        <v>0.26999999999999996</v>
      </c>
    </row>
    <row r="288" spans="1:6">
      <c r="A288" s="77"/>
      <c r="B288" s="77">
        <v>10</v>
      </c>
      <c r="C288" s="52">
        <v>1</v>
      </c>
      <c r="D288" s="18"/>
      <c r="E288" s="19"/>
      <c r="F288" s="14">
        <f>(0.005*100)/C288</f>
        <v>0.5</v>
      </c>
    </row>
    <row r="289" spans="1:6">
      <c r="A289" s="77"/>
      <c r="B289" s="77"/>
      <c r="C289" s="52">
        <v>3</v>
      </c>
      <c r="D289" s="18"/>
      <c r="E289" s="19"/>
      <c r="F289" s="14">
        <f>(0.007*100)/C289</f>
        <v>0.23333333333333336</v>
      </c>
    </row>
    <row r="290" spans="1:6">
      <c r="A290" s="77"/>
      <c r="B290" s="77"/>
      <c r="C290" s="52">
        <v>5</v>
      </c>
      <c r="D290" s="18"/>
      <c r="E290" s="19"/>
      <c r="F290" s="14">
        <f>(0.009*100)/C290</f>
        <v>0.18</v>
      </c>
    </row>
    <row r="291" spans="1:6">
      <c r="A291" s="77"/>
      <c r="B291" s="77"/>
      <c r="C291" s="52">
        <v>7</v>
      </c>
      <c r="D291" s="18"/>
      <c r="E291" s="18"/>
      <c r="F291" s="14">
        <f>(0.015*100)/C291</f>
        <v>0.21428571428571427</v>
      </c>
    </row>
    <row r="292" spans="1:6">
      <c r="A292" s="77"/>
      <c r="B292" s="77"/>
      <c r="C292" s="52">
        <v>10</v>
      </c>
      <c r="D292" s="18"/>
      <c r="E292" s="18"/>
      <c r="F292" s="14">
        <f>(0.024*100)/C292</f>
        <v>0.24</v>
      </c>
    </row>
    <row r="293" spans="1:6">
      <c r="A293" s="8"/>
      <c r="B293" s="8"/>
      <c r="C293" s="8"/>
      <c r="D293" s="23"/>
      <c r="E293" s="23"/>
      <c r="F293" s="26"/>
    </row>
    <row r="294" spans="1:6">
      <c r="A294" s="27" t="s">
        <v>29</v>
      </c>
      <c r="B294" s="8"/>
      <c r="C294" s="8"/>
      <c r="D294" s="23"/>
      <c r="E294" s="24"/>
      <c r="F294" s="26"/>
    </row>
    <row r="295" spans="1:6" ht="15" customHeight="1">
      <c r="A295" s="74" t="s">
        <v>31</v>
      </c>
      <c r="B295" s="74" t="s">
        <v>32</v>
      </c>
      <c r="C295" s="74" t="s">
        <v>30</v>
      </c>
      <c r="D295" s="74" t="s">
        <v>10</v>
      </c>
      <c r="E295" s="74" t="s">
        <v>35</v>
      </c>
    </row>
    <row r="296" spans="1:6">
      <c r="A296" s="75"/>
      <c r="B296" s="75"/>
      <c r="C296" s="75"/>
      <c r="D296" s="75"/>
      <c r="E296" s="75"/>
    </row>
    <row r="297" spans="1:6">
      <c r="A297" s="75"/>
      <c r="B297" s="75"/>
      <c r="C297" s="75"/>
      <c r="D297" s="75"/>
      <c r="E297" s="75"/>
    </row>
    <row r="298" spans="1:6">
      <c r="A298" s="76"/>
      <c r="B298" s="76"/>
      <c r="C298" s="76"/>
      <c r="D298" s="76"/>
      <c r="E298" s="76"/>
    </row>
    <row r="299" spans="1:6">
      <c r="A299" s="77">
        <v>5</v>
      </c>
      <c r="B299" s="30">
        <v>0.1</v>
      </c>
      <c r="C299" s="30"/>
      <c r="D299" s="30"/>
      <c r="E299" s="79">
        <f>(0.0035*100)/A299</f>
        <v>7.0000000000000007E-2</v>
      </c>
      <c r="F299" s="31"/>
    </row>
    <row r="300" spans="1:6">
      <c r="A300" s="77"/>
      <c r="B300" s="30">
        <v>1</v>
      </c>
      <c r="C300" s="30"/>
      <c r="D300" s="30"/>
      <c r="E300" s="80"/>
      <c r="F300" s="31"/>
    </row>
    <row r="301" spans="1:6">
      <c r="A301" s="77">
        <v>50</v>
      </c>
      <c r="B301" s="54">
        <v>0.1</v>
      </c>
      <c r="C301" s="28"/>
      <c r="D301" s="18"/>
      <c r="E301" s="79">
        <f>(0.015*100)/A301</f>
        <v>0.03</v>
      </c>
      <c r="F301" s="26"/>
    </row>
    <row r="302" spans="1:6">
      <c r="A302" s="77"/>
      <c r="B302" s="54">
        <v>1</v>
      </c>
      <c r="C302" s="28"/>
      <c r="D302" s="18"/>
      <c r="E302" s="80"/>
      <c r="F302" s="26"/>
    </row>
    <row r="303" spans="1:6">
      <c r="A303" s="77">
        <v>500</v>
      </c>
      <c r="B303" s="54">
        <v>0.1</v>
      </c>
      <c r="C303" s="28"/>
      <c r="D303" s="18"/>
      <c r="E303" s="79">
        <f>(0.035*100)/A303</f>
        <v>7.000000000000001E-3</v>
      </c>
      <c r="F303" s="26"/>
    </row>
    <row r="304" spans="1:6">
      <c r="A304" s="77"/>
      <c r="B304" s="54">
        <v>1</v>
      </c>
      <c r="C304" s="28"/>
      <c r="D304" s="18"/>
      <c r="E304" s="80"/>
      <c r="F304" s="26"/>
    </row>
    <row r="305" spans="1:9">
      <c r="A305" s="78">
        <v>100000</v>
      </c>
      <c r="B305" s="54">
        <v>0.1</v>
      </c>
      <c r="C305" s="28"/>
      <c r="D305" s="18"/>
      <c r="E305" s="79">
        <f>(7*100)/A305</f>
        <v>7.0000000000000001E-3</v>
      </c>
      <c r="F305" s="26"/>
    </row>
    <row r="306" spans="1:9">
      <c r="A306" s="78"/>
      <c r="B306" s="54">
        <v>1</v>
      </c>
      <c r="C306" s="28"/>
      <c r="D306" s="18"/>
      <c r="E306" s="80"/>
      <c r="F306" s="26"/>
    </row>
    <row r="307" spans="1:9">
      <c r="A307" s="8"/>
      <c r="B307" s="8"/>
      <c r="C307" s="8"/>
      <c r="D307" s="23"/>
      <c r="E307" s="24"/>
      <c r="F307" s="26"/>
    </row>
    <row r="308" spans="1:9" s="37" customFormat="1" ht="12">
      <c r="A308" s="36" t="s">
        <v>36</v>
      </c>
      <c r="B308" s="39"/>
      <c r="C308" s="39"/>
      <c r="D308" s="40"/>
      <c r="E308" s="41"/>
      <c r="F308" s="42"/>
      <c r="G308" s="36"/>
      <c r="H308" s="36"/>
      <c r="I308" s="36"/>
    </row>
    <row r="309" spans="1:9">
      <c r="A309" s="72" t="s">
        <v>44</v>
      </c>
      <c r="B309" s="72" t="s">
        <v>33</v>
      </c>
      <c r="C309" s="72" t="s">
        <v>34</v>
      </c>
      <c r="D309" s="72" t="s">
        <v>10</v>
      </c>
      <c r="E309" s="72" t="s">
        <v>35</v>
      </c>
      <c r="F309" s="26"/>
    </row>
    <row r="310" spans="1:9">
      <c r="A310" s="72"/>
      <c r="B310" s="72"/>
      <c r="C310" s="72"/>
      <c r="D310" s="72"/>
      <c r="E310" s="72"/>
      <c r="F310" s="26"/>
    </row>
    <row r="311" spans="1:9">
      <c r="A311" s="53">
        <v>100</v>
      </c>
      <c r="B311" s="53">
        <v>100</v>
      </c>
      <c r="C311" s="28"/>
      <c r="D311" s="18"/>
      <c r="E311" s="14">
        <f>(0.01*100)/B311</f>
        <v>0.01</v>
      </c>
      <c r="F311" s="26"/>
    </row>
    <row r="312" spans="1:9">
      <c r="A312" s="53">
        <v>1000</v>
      </c>
      <c r="B312" s="53">
        <v>1000</v>
      </c>
      <c r="C312" s="28"/>
      <c r="D312" s="18"/>
      <c r="E312" s="14">
        <f>(0.045*100)/B312</f>
        <v>4.4999999999999997E-3</v>
      </c>
      <c r="F312" s="26"/>
    </row>
    <row r="313" spans="1:9">
      <c r="A313" s="53">
        <v>10000</v>
      </c>
      <c r="B313" s="53">
        <v>10000</v>
      </c>
      <c r="C313" s="28"/>
      <c r="D313" s="18"/>
      <c r="E313" s="14">
        <f>(0.45*100)/B313</f>
        <v>4.4999999999999997E-3</v>
      </c>
      <c r="F313" s="26"/>
    </row>
    <row r="314" spans="1:9">
      <c r="A314" s="58">
        <v>100000</v>
      </c>
      <c r="B314" s="58">
        <v>100000</v>
      </c>
      <c r="C314" s="57"/>
      <c r="D314" s="59"/>
      <c r="E314" s="60">
        <f>(4.5*100)/B314</f>
        <v>4.4999999999999997E-3</v>
      </c>
      <c r="F314" s="26"/>
    </row>
    <row r="315" spans="1:9">
      <c r="A315" s="61"/>
      <c r="B315" s="61"/>
      <c r="C315" s="62"/>
      <c r="D315" s="63"/>
      <c r="E315" s="64"/>
      <c r="F315" s="26"/>
    </row>
    <row r="316" spans="1:9">
      <c r="A316" s="32"/>
      <c r="B316" s="32"/>
      <c r="C316" s="8"/>
      <c r="D316" s="23"/>
      <c r="E316" s="26"/>
      <c r="F316" s="26"/>
    </row>
    <row r="317" spans="1:9">
      <c r="A317" s="32"/>
      <c r="B317" s="8"/>
      <c r="C317" s="8"/>
      <c r="D317" s="23"/>
      <c r="E317" s="26"/>
      <c r="F317" s="26"/>
    </row>
    <row r="318" spans="1:9" s="37" customFormat="1" ht="12">
      <c r="A318" s="43" t="s">
        <v>37</v>
      </c>
      <c r="B318" s="39"/>
      <c r="C318" s="39"/>
      <c r="D318" s="40"/>
      <c r="E318" s="41"/>
      <c r="F318" s="42"/>
      <c r="G318" s="36"/>
      <c r="H318" s="36"/>
      <c r="I318" s="36"/>
    </row>
    <row r="319" spans="1:9" ht="15" customHeight="1">
      <c r="A319" s="72" t="s">
        <v>45</v>
      </c>
      <c r="B319" s="72" t="s">
        <v>38</v>
      </c>
      <c r="C319" s="72" t="s">
        <v>39</v>
      </c>
      <c r="D319" s="72" t="s">
        <v>10</v>
      </c>
      <c r="E319" s="72" t="s">
        <v>35</v>
      </c>
      <c r="F319" s="26"/>
    </row>
    <row r="320" spans="1:9">
      <c r="A320" s="72"/>
      <c r="B320" s="72"/>
      <c r="C320" s="72"/>
      <c r="D320" s="72"/>
      <c r="E320" s="72"/>
      <c r="F320" s="26"/>
    </row>
    <row r="321" spans="1:6">
      <c r="A321" s="72"/>
      <c r="B321" s="72"/>
      <c r="C321" s="72"/>
      <c r="D321" s="72"/>
      <c r="E321" s="72"/>
      <c r="F321" s="26"/>
    </row>
    <row r="322" spans="1:6">
      <c r="A322" s="56">
        <v>1</v>
      </c>
      <c r="B322" s="56">
        <v>1</v>
      </c>
      <c r="C322" s="55"/>
      <c r="D322" s="18"/>
      <c r="E322" s="14">
        <f>(0.00075*100)/B322</f>
        <v>7.4999999999999997E-2</v>
      </c>
      <c r="F322" s="26"/>
    </row>
    <row r="323" spans="1:6">
      <c r="A323" s="56">
        <v>10</v>
      </c>
      <c r="B323" s="56">
        <v>10</v>
      </c>
      <c r="C323" s="55"/>
      <c r="D323" s="18"/>
      <c r="E323" s="14">
        <f>(0.0026*100)/B323</f>
        <v>2.6000000000000002E-2</v>
      </c>
      <c r="F323" s="26"/>
    </row>
    <row r="324" spans="1:6">
      <c r="A324" s="53">
        <v>100</v>
      </c>
      <c r="B324" s="53">
        <v>100</v>
      </c>
      <c r="C324" s="28"/>
      <c r="D324" s="18"/>
      <c r="E324" s="14">
        <f>(0.301*100)/B324</f>
        <v>0.30099999999999999</v>
      </c>
      <c r="F324" s="26"/>
    </row>
    <row r="325" spans="1:6">
      <c r="A325" s="53">
        <v>1000</v>
      </c>
      <c r="B325" s="53">
        <v>1000</v>
      </c>
      <c r="C325" s="28"/>
      <c r="D325" s="18"/>
      <c r="E325" s="14">
        <f>(30.01*100)/B325</f>
        <v>3.0009999999999999</v>
      </c>
      <c r="F325" s="26"/>
    </row>
    <row r="326" spans="1:6">
      <c r="A326" s="32"/>
      <c r="B326" s="48"/>
      <c r="C326" s="9"/>
      <c r="D326" s="9"/>
      <c r="E326" s="9"/>
      <c r="F326" s="26"/>
    </row>
    <row r="327" spans="1:6">
      <c r="A327" s="34" t="s">
        <v>40</v>
      </c>
    </row>
    <row r="328" spans="1:6">
      <c r="A328" s="72" t="s">
        <v>41</v>
      </c>
      <c r="B328" s="72" t="s">
        <v>42</v>
      </c>
      <c r="C328" s="72" t="s">
        <v>43</v>
      </c>
      <c r="D328" s="72" t="s">
        <v>10</v>
      </c>
      <c r="E328" s="72" t="s">
        <v>35</v>
      </c>
    </row>
    <row r="329" spans="1:6">
      <c r="A329" s="73"/>
      <c r="B329" s="73"/>
      <c r="C329" s="73"/>
      <c r="D329" s="73"/>
      <c r="E329" s="73"/>
    </row>
    <row r="330" spans="1:6">
      <c r="A330" s="73"/>
      <c r="B330" s="73"/>
      <c r="C330" s="73"/>
      <c r="D330" s="73"/>
      <c r="E330" s="73"/>
    </row>
    <row r="331" spans="1:6">
      <c r="A331" s="53">
        <v>1</v>
      </c>
      <c r="B331" s="53">
        <v>1</v>
      </c>
      <c r="C331" s="28"/>
      <c r="D331" s="35"/>
      <c r="E331" s="14">
        <f>(0.01*100)/B331</f>
        <v>1</v>
      </c>
    </row>
    <row r="332" spans="1:6">
      <c r="A332" s="53">
        <v>10</v>
      </c>
      <c r="B332" s="53">
        <v>10</v>
      </c>
      <c r="C332" s="33"/>
      <c r="D332" s="33"/>
      <c r="E332" s="14">
        <f>(0.05*100)/B332</f>
        <v>0.5</v>
      </c>
    </row>
    <row r="333" spans="1:6">
      <c r="A333" s="53">
        <v>100</v>
      </c>
      <c r="B333" s="53">
        <v>100</v>
      </c>
      <c r="C333" s="33"/>
      <c r="D333" s="33"/>
      <c r="E333" s="14">
        <f>(0.5*100)/B333</f>
        <v>0.5</v>
      </c>
    </row>
    <row r="334" spans="1:6">
      <c r="A334" s="53">
        <v>1000</v>
      </c>
      <c r="B334" s="53">
        <v>1000</v>
      </c>
      <c r="C334" s="33"/>
      <c r="D334" s="33"/>
      <c r="E334" s="14">
        <f>(5*100)/B334</f>
        <v>0.5</v>
      </c>
    </row>
    <row r="337" spans="1:8">
      <c r="A337" s="71" t="s">
        <v>46</v>
      </c>
      <c r="B337" s="71"/>
      <c r="C337" s="44"/>
      <c r="D337" s="47" t="s">
        <v>48</v>
      </c>
      <c r="E337" s="99"/>
      <c r="F337" s="99"/>
      <c r="G337" s="9" t="s">
        <v>49</v>
      </c>
      <c r="H337" s="46"/>
    </row>
    <row r="339" spans="1:8">
      <c r="A339" s="71" t="s">
        <v>47</v>
      </c>
      <c r="B339" s="71"/>
      <c r="C339" s="100"/>
      <c r="D339" s="100"/>
    </row>
  </sheetData>
  <mergeCells count="122">
    <mergeCell ref="E337:F337"/>
    <mergeCell ref="C339:D339"/>
    <mergeCell ref="A7:F7"/>
    <mergeCell ref="A196:A200"/>
    <mergeCell ref="A201:A205"/>
    <mergeCell ref="A208:A209"/>
    <mergeCell ref="B208:B209"/>
    <mergeCell ref="A174:A175"/>
    <mergeCell ref="B174:B175"/>
    <mergeCell ref="B137:B141"/>
    <mergeCell ref="B142:B146"/>
    <mergeCell ref="C208:C209"/>
    <mergeCell ref="A176:A180"/>
    <mergeCell ref="A181:A185"/>
    <mergeCell ref="A186:A190"/>
    <mergeCell ref="A191:A195"/>
    <mergeCell ref="B147:B151"/>
    <mergeCell ref="B152:B156"/>
    <mergeCell ref="B157:B161"/>
    <mergeCell ref="B162:B166"/>
    <mergeCell ref="B167:B171"/>
    <mergeCell ref="A152:A171"/>
    <mergeCell ref="A127:A151"/>
    <mergeCell ref="B127:B131"/>
    <mergeCell ref="C174:C175"/>
    <mergeCell ref="D208:D209"/>
    <mergeCell ref="E208:E209"/>
    <mergeCell ref="F208:F209"/>
    <mergeCell ref="A262:A292"/>
    <mergeCell ref="B263:B267"/>
    <mergeCell ref="B268:B272"/>
    <mergeCell ref="B273:B277"/>
    <mergeCell ref="B278:B282"/>
    <mergeCell ref="B288:B292"/>
    <mergeCell ref="A231:A261"/>
    <mergeCell ref="B232:B236"/>
    <mergeCell ref="B237:B241"/>
    <mergeCell ref="B242:B246"/>
    <mergeCell ref="B247:B251"/>
    <mergeCell ref="B257:B261"/>
    <mergeCell ref="B211:B215"/>
    <mergeCell ref="B216:B220"/>
    <mergeCell ref="B221:B225"/>
    <mergeCell ref="B226:B230"/>
    <mergeCell ref="B252:B256"/>
    <mergeCell ref="B283:B287"/>
    <mergeCell ref="A210:A230"/>
    <mergeCell ref="E174:E175"/>
    <mergeCell ref="A309:A310"/>
    <mergeCell ref="B309:B310"/>
    <mergeCell ref="C309:C310"/>
    <mergeCell ref="D309:D310"/>
    <mergeCell ref="E309:E310"/>
    <mergeCell ref="B57:B61"/>
    <mergeCell ref="B62:B66"/>
    <mergeCell ref="B67:B71"/>
    <mergeCell ref="B72:B76"/>
    <mergeCell ref="A77:A101"/>
    <mergeCell ref="B77:B81"/>
    <mergeCell ref="B82:B86"/>
    <mergeCell ref="B87:B91"/>
    <mergeCell ref="B92:B96"/>
    <mergeCell ref="B97:B101"/>
    <mergeCell ref="A102:A126"/>
    <mergeCell ref="B102:B106"/>
    <mergeCell ref="B107:B111"/>
    <mergeCell ref="B112:B116"/>
    <mergeCell ref="B117:B121"/>
    <mergeCell ref="B122:B126"/>
    <mergeCell ref="B132:B136"/>
    <mergeCell ref="E299:E300"/>
    <mergeCell ref="D174:D175"/>
    <mergeCell ref="A3:H3"/>
    <mergeCell ref="A2:H2"/>
    <mergeCell ref="A1:H1"/>
    <mergeCell ref="A26:A27"/>
    <mergeCell ref="A28:A32"/>
    <mergeCell ref="B26:B27"/>
    <mergeCell ref="C26:C27"/>
    <mergeCell ref="D26:D27"/>
    <mergeCell ref="E26:E27"/>
    <mergeCell ref="D16:E16"/>
    <mergeCell ref="D17:E17"/>
    <mergeCell ref="D18:E18"/>
    <mergeCell ref="A57:A76"/>
    <mergeCell ref="A33:A37"/>
    <mergeCell ref="A38:A42"/>
    <mergeCell ref="A5:H5"/>
    <mergeCell ref="A4:H4"/>
    <mergeCell ref="A43:A47"/>
    <mergeCell ref="A48:A52"/>
    <mergeCell ref="B55:B56"/>
    <mergeCell ref="C55:C56"/>
    <mergeCell ref="D55:D56"/>
    <mergeCell ref="E55:E56"/>
    <mergeCell ref="F55:F56"/>
    <mergeCell ref="A55:A56"/>
    <mergeCell ref="A16:C18"/>
    <mergeCell ref="A339:B339"/>
    <mergeCell ref="A328:A330"/>
    <mergeCell ref="B328:B330"/>
    <mergeCell ref="E295:E298"/>
    <mergeCell ref="D295:D298"/>
    <mergeCell ref="C295:C298"/>
    <mergeCell ref="B295:B298"/>
    <mergeCell ref="A295:A298"/>
    <mergeCell ref="A299:A300"/>
    <mergeCell ref="A301:A302"/>
    <mergeCell ref="A303:A304"/>
    <mergeCell ref="A305:A306"/>
    <mergeCell ref="C328:C330"/>
    <mergeCell ref="D328:D330"/>
    <mergeCell ref="A337:B337"/>
    <mergeCell ref="E328:E330"/>
    <mergeCell ref="E319:E321"/>
    <mergeCell ref="D319:D321"/>
    <mergeCell ref="C319:C321"/>
    <mergeCell ref="B319:B321"/>
    <mergeCell ref="A319:A321"/>
    <mergeCell ref="E301:E302"/>
    <mergeCell ref="E303:E304"/>
    <mergeCell ref="E305:E306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&amp;C&amp;"Arial,обычный"&amp;P страница из &amp;N страниц</oddFooter>
  </headerFooter>
  <rowBreaks count="6" manualBreakCount="6">
    <brk id="53" max="7" man="1"/>
    <brk id="101" max="7" man="1"/>
    <brk id="151" max="7" man="1"/>
    <brk id="200" max="7" man="1"/>
    <brk id="254" max="7" man="1"/>
    <brk id="3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2019-08-29T05:16:26Z</dcterms:modified>
</cp:coreProperties>
</file>